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埼玉コンテスト関係\22th\"/>
    </mc:Choice>
  </mc:AlternateContent>
  <xr:revisionPtr revIDLastSave="0" documentId="8_{DBC644E5-2B95-4637-A700-2623C1285B65}" xr6:coauthVersionLast="47" xr6:coauthVersionMax="47" xr10:uidLastSave="{00000000-0000-0000-0000-000000000000}"/>
  <workbookProtection workbookAlgorithmName="SHA-512" workbookHashValue="tgryLRfcZWuu5z4+pESSjkSG0azBD1k55pOW6IDVf1pD2oOrxPkYB5HRSCnzG4/gx2AQ+SBSIVHf8eFpFqGdoQ==" workbookSaltValue="fqpS9EPwJY2Iz+LSgyMT6w==" workbookSpinCount="100000" lockStructure="1"/>
  <bookViews>
    <workbookView xWindow="-108" yWindow="-108" windowWidth="23256" windowHeight="12456" xr2:uid="{00000000-000D-0000-FFFF-FFFF00000000}"/>
  </bookViews>
  <sheets>
    <sheet name="団体情報・入力の仕方" sheetId="6" r:id="rId1"/>
    <sheet name="入力シート" sheetId="4" r:id="rId2"/>
    <sheet name="エントリー別人数表＆参加費申込書" sheetId="3" r:id="rId3"/>
    <sheet name="参照データ" sheetId="5" state="hidden" r:id="rId4"/>
  </sheets>
  <definedNames>
    <definedName name="_xlnm.Print_Area" localSheetId="2">'エントリー別人数表＆参加費申込書'!$A$1:$AD$61,'エントリー別人数表＆参加費申込書'!$A$63:$AD$103</definedName>
    <definedName name="_xlnm.Print_Area" localSheetId="0">団体情報・入力の仕方!$A$1:$N$54</definedName>
    <definedName name="_xlnm.Print_Area" localSheetId="1">入力シート!$I$13:$AR$72</definedName>
    <definedName name="_xlnm.Print_Titles" localSheetId="1">入力シート!$B:$H,入力シート!$2:$12</definedName>
    <definedName name="都県">参照データ!$B$3:$B$10</definedName>
    <definedName name="未就学">入力シート!$AT$75:$AU$77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2" i="4" l="1"/>
  <c r="BN13" i="4"/>
  <c r="DK14" i="4"/>
  <c r="DK15" i="4"/>
  <c r="DK16" i="4"/>
  <c r="DK17" i="4"/>
  <c r="DK18" i="4"/>
  <c r="DK19" i="4"/>
  <c r="DK20" i="4"/>
  <c r="DK21" i="4"/>
  <c r="DK22" i="4"/>
  <c r="DK23" i="4"/>
  <c r="DK24" i="4"/>
  <c r="DK25" i="4"/>
  <c r="DK26" i="4"/>
  <c r="DK27" i="4"/>
  <c r="DK28" i="4"/>
  <c r="DK29" i="4"/>
  <c r="DK30" i="4"/>
  <c r="DK31" i="4"/>
  <c r="DK32" i="4"/>
  <c r="DK33" i="4"/>
  <c r="DK34" i="4"/>
  <c r="DK35" i="4"/>
  <c r="DK36" i="4"/>
  <c r="DK37" i="4"/>
  <c r="DK38" i="4"/>
  <c r="DK39" i="4"/>
  <c r="DK40" i="4"/>
  <c r="DK41" i="4"/>
  <c r="DK42" i="4"/>
  <c r="DK43" i="4"/>
  <c r="DK44" i="4"/>
  <c r="DK45" i="4"/>
  <c r="DK46" i="4"/>
  <c r="DK47" i="4"/>
  <c r="DK48" i="4"/>
  <c r="DK49" i="4"/>
  <c r="DK50" i="4"/>
  <c r="DK51" i="4"/>
  <c r="DK52" i="4"/>
  <c r="DK53" i="4"/>
  <c r="DK54" i="4"/>
  <c r="DK55" i="4"/>
  <c r="DK56" i="4"/>
  <c r="DK57" i="4"/>
  <c r="DK58" i="4"/>
  <c r="DK59" i="4"/>
  <c r="DK60" i="4"/>
  <c r="DK61" i="4"/>
  <c r="DK62" i="4"/>
  <c r="DK63" i="4"/>
  <c r="DK64" i="4"/>
  <c r="DK65" i="4"/>
  <c r="DK66" i="4"/>
  <c r="DK67" i="4"/>
  <c r="DK68" i="4"/>
  <c r="DK69" i="4"/>
  <c r="DK70" i="4"/>
  <c r="DK71" i="4"/>
  <c r="DK72" i="4"/>
  <c r="DK13" i="4"/>
  <c r="DH14" i="4" a="1"/>
  <c r="DH15" i="4" a="1"/>
  <c r="DH16" i="4" a="1"/>
  <c r="DH17" i="4" a="1"/>
  <c r="DH18" i="4" a="1"/>
  <c r="DH19" i="4" a="1"/>
  <c r="DH20" i="4" a="1"/>
  <c r="DH21" i="4" a="1"/>
  <c r="DH22" i="4" a="1"/>
  <c r="DH23" i="4" a="1"/>
  <c r="DH24" i="4" a="1"/>
  <c r="DH25" i="4" a="1"/>
  <c r="DH26" i="4" a="1"/>
  <c r="DH27" i="4" a="1"/>
  <c r="DH28" i="4" a="1"/>
  <c r="DH29" i="4" a="1"/>
  <c r="DH30" i="4" a="1"/>
  <c r="DH31" i="4" a="1"/>
  <c r="DH32" i="4" a="1"/>
  <c r="DH33" i="4" a="1"/>
  <c r="DH34" i="4" a="1"/>
  <c r="DH35" i="4" a="1"/>
  <c r="DH36" i="4" a="1"/>
  <c r="DH37" i="4" a="1"/>
  <c r="DH38" i="4" a="1"/>
  <c r="DH39" i="4" a="1"/>
  <c r="DH40" i="4" a="1"/>
  <c r="DH41" i="4" a="1"/>
  <c r="DH42" i="4" a="1"/>
  <c r="DH43" i="4" a="1"/>
  <c r="DH44" i="4" a="1"/>
  <c r="DH45" i="4" a="1"/>
  <c r="DH46" i="4" a="1"/>
  <c r="DH47" i="4" a="1"/>
  <c r="DH48" i="4" a="1"/>
  <c r="DH49" i="4" a="1"/>
  <c r="DH50" i="4" a="1"/>
  <c r="DH51" i="4" a="1"/>
  <c r="DH52" i="4" a="1"/>
  <c r="DH53" i="4" a="1"/>
  <c r="DH54" i="4" a="1"/>
  <c r="DH55" i="4" a="1"/>
  <c r="DH56" i="4" a="1"/>
  <c r="DH57" i="4" a="1"/>
  <c r="DH58" i="4" a="1"/>
  <c r="DH59" i="4" a="1"/>
  <c r="DH60" i="4" a="1"/>
  <c r="DH61" i="4" a="1"/>
  <c r="DH62" i="4" a="1"/>
  <c r="DH63" i="4" a="1"/>
  <c r="DH64" i="4" a="1"/>
  <c r="DH65" i="4" a="1"/>
  <c r="DH66" i="4" a="1"/>
  <c r="DH67" i="4" a="1"/>
  <c r="DH68" i="4" a="1"/>
  <c r="DH69" i="4" a="1"/>
  <c r="DH70" i="4" a="1"/>
  <c r="DH71" i="4" a="1"/>
  <c r="DH72" i="4" a="1"/>
  <c r="DH13" i="4" a="1"/>
  <c r="G75" i="3"/>
  <c r="DA64" i="4"/>
  <c r="DF28" i="4" l="1"/>
  <c r="DF29" i="4"/>
  <c r="DF30" i="4"/>
  <c r="DF31" i="4"/>
  <c r="DF32" i="4"/>
  <c r="DF33" i="4"/>
  <c r="DF34" i="4"/>
  <c r="DF35" i="4"/>
  <c r="DF36" i="4"/>
  <c r="DF37" i="4"/>
  <c r="DF38" i="4"/>
  <c r="DF39" i="4"/>
  <c r="DF40" i="4"/>
  <c r="DF41" i="4"/>
  <c r="DF42" i="4"/>
  <c r="DF43" i="4"/>
  <c r="DF44" i="4"/>
  <c r="DF45" i="4"/>
  <c r="DF46" i="4"/>
  <c r="DF47" i="4"/>
  <c r="DF48" i="4"/>
  <c r="DF49" i="4"/>
  <c r="DF50" i="4"/>
  <c r="DF51" i="4"/>
  <c r="DF52" i="4"/>
  <c r="DF53" i="4"/>
  <c r="DF54" i="4"/>
  <c r="DF55" i="4"/>
  <c r="DF56" i="4"/>
  <c r="DF57" i="4"/>
  <c r="DF58" i="4"/>
  <c r="DF59" i="4"/>
  <c r="DF60" i="4"/>
  <c r="DF61" i="4"/>
  <c r="DF62" i="4"/>
  <c r="DF63" i="4"/>
  <c r="DF64" i="4"/>
  <c r="DF65" i="4"/>
  <c r="DF66" i="4"/>
  <c r="DF67" i="4"/>
  <c r="DF68" i="4"/>
  <c r="DF69" i="4"/>
  <c r="DF70" i="4"/>
  <c r="DF71" i="4"/>
  <c r="DF72" i="4"/>
  <c r="DF14" i="4"/>
  <c r="DF15" i="4"/>
  <c r="DF16" i="4"/>
  <c r="DF17" i="4"/>
  <c r="DF18" i="4"/>
  <c r="DF19" i="4"/>
  <c r="DF20" i="4"/>
  <c r="DF21" i="4"/>
  <c r="DF22" i="4"/>
  <c r="DF23" i="4"/>
  <c r="DF24" i="4"/>
  <c r="DF25" i="4"/>
  <c r="DF26" i="4"/>
  <c r="DF27" i="4"/>
  <c r="DF13" i="4"/>
  <c r="DG13" i="4"/>
  <c r="AU21" i="4" l="1"/>
  <c r="AL21" i="4" l="1"/>
  <c r="I21" i="4"/>
  <c r="Y38" i="3"/>
  <c r="AN26" i="4" l="1"/>
  <c r="CJ27" i="4" l="1"/>
  <c r="CJ28" i="4"/>
  <c r="CJ29" i="4"/>
  <c r="CJ30" i="4"/>
  <c r="CJ31" i="4"/>
  <c r="CJ32" i="4"/>
  <c r="CJ33" i="4"/>
  <c r="CJ34" i="4"/>
  <c r="CJ35" i="4"/>
  <c r="CJ36" i="4"/>
  <c r="CJ37" i="4"/>
  <c r="CJ38" i="4"/>
  <c r="CJ39" i="4"/>
  <c r="CJ40" i="4"/>
  <c r="CJ41" i="4"/>
  <c r="CJ42" i="4"/>
  <c r="CJ43" i="4"/>
  <c r="CJ44" i="4"/>
  <c r="CJ45" i="4"/>
  <c r="CJ46" i="4"/>
  <c r="CJ47" i="4"/>
  <c r="CJ48" i="4"/>
  <c r="CJ49" i="4"/>
  <c r="CJ50" i="4"/>
  <c r="CJ51" i="4"/>
  <c r="CJ52" i="4"/>
  <c r="CJ53" i="4"/>
  <c r="CJ54" i="4"/>
  <c r="CJ55" i="4"/>
  <c r="CJ56" i="4"/>
  <c r="CJ57" i="4"/>
  <c r="CJ58" i="4"/>
  <c r="CJ59" i="4"/>
  <c r="CJ60" i="4"/>
  <c r="CJ61" i="4"/>
  <c r="CJ62" i="4"/>
  <c r="CJ63" i="4"/>
  <c r="CJ64" i="4"/>
  <c r="CJ65" i="4"/>
  <c r="CJ66" i="4"/>
  <c r="CJ67" i="4"/>
  <c r="CJ68" i="4"/>
  <c r="CJ69" i="4"/>
  <c r="CJ70" i="4"/>
  <c r="CJ71" i="4"/>
  <c r="CJ72" i="4"/>
  <c r="DU14" i="4" l="1"/>
  <c r="DU15" i="4"/>
  <c r="DU16" i="4"/>
  <c r="DU17" i="4"/>
  <c r="DU18" i="4"/>
  <c r="DU19" i="4"/>
  <c r="DU20" i="4"/>
  <c r="DU21" i="4"/>
  <c r="DU22" i="4"/>
  <c r="DU23" i="4"/>
  <c r="DU24" i="4"/>
  <c r="DU25" i="4"/>
  <c r="DU26" i="4"/>
  <c r="DU27" i="4"/>
  <c r="DU28" i="4"/>
  <c r="DU29" i="4"/>
  <c r="DU30" i="4"/>
  <c r="DU31" i="4"/>
  <c r="DU32" i="4"/>
  <c r="DU33" i="4"/>
  <c r="DU34" i="4"/>
  <c r="DU35" i="4"/>
  <c r="DU36" i="4"/>
  <c r="DU37" i="4"/>
  <c r="DU38" i="4"/>
  <c r="DU39" i="4"/>
  <c r="DU40" i="4"/>
  <c r="DU41" i="4"/>
  <c r="DU42" i="4"/>
  <c r="DU43" i="4"/>
  <c r="DU44" i="4"/>
  <c r="DU45" i="4"/>
  <c r="DU46" i="4"/>
  <c r="DU47" i="4"/>
  <c r="DU48" i="4"/>
  <c r="DU49" i="4"/>
  <c r="DU50" i="4"/>
  <c r="DU51" i="4"/>
  <c r="DU52" i="4"/>
  <c r="DU53" i="4"/>
  <c r="DU54" i="4"/>
  <c r="DU55" i="4"/>
  <c r="DU56" i="4"/>
  <c r="DU57" i="4"/>
  <c r="DU58" i="4"/>
  <c r="DU59" i="4"/>
  <c r="DU60" i="4"/>
  <c r="DU61" i="4"/>
  <c r="DU62" i="4"/>
  <c r="DU63" i="4"/>
  <c r="DU64" i="4"/>
  <c r="DU65" i="4"/>
  <c r="DU66" i="4"/>
  <c r="DU67" i="4"/>
  <c r="DU68" i="4"/>
  <c r="DU69" i="4"/>
  <c r="DU70" i="4"/>
  <c r="DU71" i="4"/>
  <c r="DU72" i="4"/>
  <c r="DM14" i="4"/>
  <c r="DM15" i="4"/>
  <c r="DM16" i="4"/>
  <c r="DM17" i="4"/>
  <c r="DM18" i="4"/>
  <c r="DM19" i="4"/>
  <c r="DM20" i="4"/>
  <c r="DM21" i="4"/>
  <c r="DM22" i="4"/>
  <c r="DM23" i="4"/>
  <c r="DM24" i="4"/>
  <c r="DM25" i="4"/>
  <c r="DM26" i="4"/>
  <c r="DM27" i="4"/>
  <c r="DM28" i="4"/>
  <c r="DM29" i="4"/>
  <c r="DM30" i="4"/>
  <c r="DM31" i="4"/>
  <c r="DM32" i="4"/>
  <c r="DM33" i="4"/>
  <c r="DM34" i="4"/>
  <c r="DM35" i="4"/>
  <c r="DM36" i="4"/>
  <c r="DM37" i="4"/>
  <c r="DM38" i="4"/>
  <c r="DM39" i="4"/>
  <c r="DM40" i="4"/>
  <c r="DM41" i="4"/>
  <c r="DM42" i="4"/>
  <c r="DM43" i="4"/>
  <c r="DM44" i="4"/>
  <c r="DM45" i="4"/>
  <c r="DM46" i="4"/>
  <c r="DM47" i="4"/>
  <c r="DM48" i="4"/>
  <c r="DM49" i="4"/>
  <c r="DM50" i="4"/>
  <c r="DM51" i="4"/>
  <c r="DM52" i="4"/>
  <c r="DM53" i="4"/>
  <c r="DM54" i="4"/>
  <c r="DM55" i="4"/>
  <c r="DM56" i="4"/>
  <c r="DM57" i="4"/>
  <c r="DM58" i="4"/>
  <c r="DM59" i="4"/>
  <c r="DM60" i="4"/>
  <c r="DM61" i="4"/>
  <c r="DM62" i="4"/>
  <c r="DM63" i="4"/>
  <c r="DM64" i="4"/>
  <c r="DM65" i="4"/>
  <c r="DM66" i="4"/>
  <c r="DM67" i="4"/>
  <c r="DM68" i="4"/>
  <c r="DM69" i="4"/>
  <c r="DM70" i="4"/>
  <c r="DM71" i="4"/>
  <c r="DM72" i="4"/>
  <c r="DM13" i="4"/>
  <c r="DU13" i="4"/>
  <c r="DN30" i="4"/>
  <c r="DN31" i="4"/>
  <c r="DN32" i="4"/>
  <c r="DN33" i="4"/>
  <c r="DN34" i="4"/>
  <c r="DN35" i="4"/>
  <c r="DN36" i="4"/>
  <c r="DN37" i="4"/>
  <c r="DN38" i="4"/>
  <c r="DN39" i="4"/>
  <c r="DN40" i="4"/>
  <c r="DN41" i="4"/>
  <c r="DN42" i="4"/>
  <c r="DN43" i="4"/>
  <c r="DN44" i="4"/>
  <c r="DN45" i="4"/>
  <c r="DN46" i="4"/>
  <c r="DN47" i="4"/>
  <c r="DN48" i="4"/>
  <c r="DN49" i="4"/>
  <c r="DN50" i="4"/>
  <c r="DN51" i="4"/>
  <c r="DN52" i="4"/>
  <c r="DN53" i="4"/>
  <c r="DN54" i="4"/>
  <c r="DN55" i="4"/>
  <c r="DN56" i="4"/>
  <c r="DN57" i="4"/>
  <c r="DN58" i="4"/>
  <c r="DN59" i="4"/>
  <c r="DN60" i="4"/>
  <c r="DN61" i="4"/>
  <c r="DN62" i="4"/>
  <c r="DN63" i="4"/>
  <c r="DN64" i="4"/>
  <c r="DN65" i="4"/>
  <c r="DN66" i="4"/>
  <c r="DN67" i="4"/>
  <c r="DN68" i="4"/>
  <c r="DN69" i="4"/>
  <c r="DN70" i="4"/>
  <c r="DN71" i="4"/>
  <c r="DN72" i="4"/>
  <c r="DN14" i="4"/>
  <c r="DN15" i="4"/>
  <c r="DN16" i="4"/>
  <c r="DN17" i="4"/>
  <c r="DN18" i="4"/>
  <c r="DN19" i="4"/>
  <c r="DN20" i="4"/>
  <c r="DN21" i="4"/>
  <c r="DN22" i="4"/>
  <c r="DN23" i="4"/>
  <c r="DN24" i="4"/>
  <c r="DN25" i="4"/>
  <c r="DN26" i="4"/>
  <c r="DN27" i="4"/>
  <c r="DN28" i="4"/>
  <c r="DN29" i="4"/>
  <c r="DN13" i="4"/>
  <c r="AO11" i="4"/>
  <c r="AM11" i="4"/>
  <c r="AP17" i="4"/>
  <c r="AP26" i="4"/>
  <c r="AP27" i="4"/>
  <c r="AP32" i="4"/>
  <c r="AP33" i="4"/>
  <c r="AP34" i="4"/>
  <c r="AP35" i="4"/>
  <c r="AP36" i="4"/>
  <c r="AP37" i="4"/>
  <c r="AP38" i="4"/>
  <c r="AP39" i="4"/>
  <c r="AP40" i="4"/>
  <c r="AP41" i="4"/>
  <c r="AP42" i="4"/>
  <c r="AP43" i="4"/>
  <c r="AP44" i="4"/>
  <c r="AP45" i="4"/>
  <c r="AP46" i="4"/>
  <c r="AP47" i="4"/>
  <c r="AP48" i="4"/>
  <c r="AP49" i="4"/>
  <c r="AP50" i="4"/>
  <c r="AP51" i="4"/>
  <c r="AP52" i="4"/>
  <c r="AP53" i="4"/>
  <c r="AP54" i="4"/>
  <c r="AP55" i="4"/>
  <c r="AP56" i="4"/>
  <c r="AP57" i="4"/>
  <c r="AP58" i="4"/>
  <c r="AP59" i="4"/>
  <c r="AP60" i="4"/>
  <c r="AP61" i="4"/>
  <c r="AP62" i="4"/>
  <c r="AP63" i="4"/>
  <c r="AP64" i="4"/>
  <c r="AP65" i="4"/>
  <c r="AP66" i="4"/>
  <c r="AN15" i="4"/>
  <c r="AN16" i="4"/>
  <c r="AN17" i="4"/>
  <c r="AN27" i="4"/>
  <c r="AN32" i="4"/>
  <c r="AN33" i="4"/>
  <c r="AN34" i="4"/>
  <c r="AN35" i="4"/>
  <c r="AN36" i="4"/>
  <c r="AN37" i="4"/>
  <c r="AN38" i="4"/>
  <c r="AN39" i="4"/>
  <c r="AN40" i="4"/>
  <c r="AN41" i="4"/>
  <c r="AN42" i="4"/>
  <c r="AN43" i="4"/>
  <c r="AN44" i="4"/>
  <c r="AN45" i="4"/>
  <c r="AN46" i="4"/>
  <c r="AN47" i="4"/>
  <c r="AN48" i="4"/>
  <c r="AN49" i="4"/>
  <c r="AN50" i="4"/>
  <c r="AN51" i="4"/>
  <c r="AN52" i="4"/>
  <c r="AN53" i="4"/>
  <c r="AN55" i="4"/>
  <c r="AN56" i="4"/>
  <c r="AN57" i="4"/>
  <c r="AN58" i="4"/>
  <c r="AN59" i="4"/>
  <c r="AN60" i="4"/>
  <c r="AN61" i="4"/>
  <c r="AN62" i="4"/>
  <c r="AN64" i="4"/>
  <c r="AN65" i="4"/>
  <c r="AN66" i="4"/>
  <c r="AN70" i="4"/>
  <c r="DA25" i="4"/>
  <c r="DB25" i="4" s="1"/>
  <c r="DA26" i="4"/>
  <c r="DB26" i="4" s="1"/>
  <c r="DA27" i="4"/>
  <c r="DB27" i="4" s="1"/>
  <c r="DA28" i="4"/>
  <c r="DB28" i="4" s="1"/>
  <c r="DA29" i="4"/>
  <c r="DA30" i="4"/>
  <c r="DB30" i="4" s="1"/>
  <c r="DA31" i="4"/>
  <c r="DA32" i="4"/>
  <c r="DB32" i="4" s="1"/>
  <c r="DA33" i="4"/>
  <c r="DB33" i="4" s="1"/>
  <c r="DA34" i="4"/>
  <c r="DB34" i="4" s="1"/>
  <c r="DA35" i="4"/>
  <c r="DB35" i="4" s="1"/>
  <c r="DA36" i="4"/>
  <c r="DB36" i="4" s="1"/>
  <c r="DA37" i="4"/>
  <c r="DA38" i="4"/>
  <c r="DB38" i="4" s="1"/>
  <c r="DA39" i="4"/>
  <c r="DA40" i="4"/>
  <c r="DB40" i="4" s="1"/>
  <c r="DA41" i="4"/>
  <c r="DB41" i="4" s="1"/>
  <c r="DA42" i="4"/>
  <c r="DB42" i="4" s="1"/>
  <c r="DA43" i="4"/>
  <c r="DB43" i="4" s="1"/>
  <c r="DA44" i="4"/>
  <c r="DB44" i="4" s="1"/>
  <c r="DA45" i="4"/>
  <c r="DA46" i="4"/>
  <c r="DB46" i="4" s="1"/>
  <c r="DA47" i="4"/>
  <c r="DA48" i="4"/>
  <c r="DB48" i="4" s="1"/>
  <c r="DA49" i="4"/>
  <c r="DB49" i="4" s="1"/>
  <c r="DA50" i="4"/>
  <c r="DB50" i="4" s="1"/>
  <c r="DA51" i="4"/>
  <c r="DB51" i="4" s="1"/>
  <c r="DA52" i="4"/>
  <c r="DB52" i="4" s="1"/>
  <c r="DA53" i="4"/>
  <c r="DA54" i="4"/>
  <c r="DB54" i="4" s="1"/>
  <c r="DA55" i="4"/>
  <c r="DA56" i="4"/>
  <c r="DB56" i="4" s="1"/>
  <c r="DA57" i="4"/>
  <c r="DB57" i="4" s="1"/>
  <c r="DA58" i="4"/>
  <c r="DB58" i="4" s="1"/>
  <c r="DA59" i="4"/>
  <c r="DB59" i="4" s="1"/>
  <c r="DA60" i="4"/>
  <c r="DB60" i="4" s="1"/>
  <c r="DA61" i="4"/>
  <c r="DA62" i="4"/>
  <c r="DB62" i="4" s="1"/>
  <c r="DA63" i="4"/>
  <c r="DB64" i="4"/>
  <c r="DA65" i="4"/>
  <c r="DB65" i="4" s="1"/>
  <c r="DA66" i="4"/>
  <c r="DB66" i="4" s="1"/>
  <c r="DA67" i="4"/>
  <c r="DB67" i="4" s="1"/>
  <c r="DA68" i="4"/>
  <c r="DB68" i="4" s="1"/>
  <c r="DA69" i="4"/>
  <c r="DA70" i="4"/>
  <c r="DB70" i="4" s="1"/>
  <c r="DA71" i="4"/>
  <c r="DA72" i="4"/>
  <c r="DB72" i="4" s="1"/>
  <c r="CT15" i="4"/>
  <c r="CU15" i="4" s="1"/>
  <c r="CT16" i="4"/>
  <c r="CU16" i="4" s="1"/>
  <c r="CT17" i="4"/>
  <c r="CU17" i="4" s="1"/>
  <c r="CX23" i="4"/>
  <c r="CX24" i="4"/>
  <c r="CX25" i="4"/>
  <c r="CX26" i="4"/>
  <c r="CX27" i="4"/>
  <c r="CX28" i="4"/>
  <c r="CX29" i="4"/>
  <c r="CX30" i="4"/>
  <c r="CX31" i="4"/>
  <c r="CX32" i="4"/>
  <c r="CX33" i="4"/>
  <c r="CX34" i="4"/>
  <c r="CX35" i="4"/>
  <c r="CX36" i="4"/>
  <c r="CX37" i="4"/>
  <c r="CX38" i="4"/>
  <c r="CX39" i="4"/>
  <c r="CX40" i="4"/>
  <c r="CX41" i="4"/>
  <c r="CX42" i="4"/>
  <c r="CX43" i="4"/>
  <c r="CX44" i="4"/>
  <c r="CX45" i="4"/>
  <c r="CX46" i="4"/>
  <c r="CX47" i="4"/>
  <c r="CX48" i="4"/>
  <c r="CX49" i="4"/>
  <c r="CX50" i="4"/>
  <c r="CX51" i="4"/>
  <c r="CX52" i="4"/>
  <c r="CX53" i="4"/>
  <c r="CX54" i="4"/>
  <c r="CX55" i="4"/>
  <c r="CX56" i="4"/>
  <c r="CX57" i="4"/>
  <c r="CX58" i="4"/>
  <c r="CX59" i="4"/>
  <c r="CX60" i="4"/>
  <c r="CX61" i="4"/>
  <c r="CX62" i="4"/>
  <c r="CX63" i="4"/>
  <c r="CX64" i="4"/>
  <c r="CX65" i="4"/>
  <c r="CX66" i="4"/>
  <c r="CX67" i="4"/>
  <c r="CX68" i="4"/>
  <c r="CX69" i="4"/>
  <c r="CX70" i="4"/>
  <c r="CX71" i="4"/>
  <c r="CX72" i="4"/>
  <c r="CX14" i="4"/>
  <c r="CX15" i="4"/>
  <c r="CX16" i="4"/>
  <c r="CX17" i="4"/>
  <c r="CX18" i="4"/>
  <c r="CX19" i="4"/>
  <c r="CX20" i="4"/>
  <c r="CX21" i="4"/>
  <c r="CX22" i="4"/>
  <c r="CV13" i="4"/>
  <c r="CV14" i="4"/>
  <c r="CV34" i="4"/>
  <c r="CW34" i="4" s="1"/>
  <c r="CV35" i="4"/>
  <c r="CW35" i="4" s="1"/>
  <c r="CV36" i="4"/>
  <c r="CW36" i="4" s="1"/>
  <c r="CV37" i="4"/>
  <c r="CW37" i="4" s="1"/>
  <c r="CV38" i="4"/>
  <c r="CW38" i="4" s="1"/>
  <c r="CV39" i="4"/>
  <c r="CW39" i="4" s="1"/>
  <c r="CV40" i="4"/>
  <c r="CW40" i="4" s="1"/>
  <c r="CV41" i="4"/>
  <c r="CW41" i="4" s="1"/>
  <c r="CV42" i="4"/>
  <c r="CW42" i="4" s="1"/>
  <c r="CV43" i="4"/>
  <c r="CW43" i="4" s="1"/>
  <c r="CV44" i="4"/>
  <c r="CW44" i="4" s="1"/>
  <c r="CV45" i="4"/>
  <c r="CW45" i="4" s="1"/>
  <c r="CV46" i="4"/>
  <c r="CW46" i="4" s="1"/>
  <c r="CV47" i="4"/>
  <c r="CW47" i="4" s="1"/>
  <c r="CV48" i="4"/>
  <c r="CW48" i="4" s="1"/>
  <c r="CV49" i="4"/>
  <c r="CW49" i="4" s="1"/>
  <c r="CV50" i="4"/>
  <c r="CW50" i="4" s="1"/>
  <c r="CV51" i="4"/>
  <c r="CW51" i="4" s="1"/>
  <c r="CV52" i="4"/>
  <c r="CW52" i="4" s="1"/>
  <c r="CV53" i="4"/>
  <c r="CW53" i="4" s="1"/>
  <c r="CV54" i="4"/>
  <c r="CW54" i="4" s="1"/>
  <c r="CV55" i="4"/>
  <c r="CW55" i="4" s="1"/>
  <c r="CV56" i="4"/>
  <c r="CW56" i="4" s="1"/>
  <c r="CV57" i="4"/>
  <c r="CW57" i="4" s="1"/>
  <c r="CV58" i="4"/>
  <c r="CW58" i="4" s="1"/>
  <c r="CV59" i="4"/>
  <c r="CW59" i="4" s="1"/>
  <c r="CV60" i="4"/>
  <c r="CW60" i="4" s="1"/>
  <c r="CV61" i="4"/>
  <c r="CW61" i="4" s="1"/>
  <c r="CV62" i="4"/>
  <c r="CW62" i="4" s="1"/>
  <c r="CV63" i="4"/>
  <c r="CW63" i="4" s="1"/>
  <c r="CV64" i="4"/>
  <c r="CW64" i="4" s="1"/>
  <c r="CV65" i="4"/>
  <c r="CW65" i="4" s="1"/>
  <c r="CV66" i="4"/>
  <c r="CW66" i="4" s="1"/>
  <c r="CV67" i="4"/>
  <c r="CV68" i="4"/>
  <c r="CV69" i="4"/>
  <c r="CV70" i="4"/>
  <c r="CV71" i="4"/>
  <c r="CV72" i="4"/>
  <c r="CV15" i="4"/>
  <c r="CV16" i="4"/>
  <c r="CV17" i="4"/>
  <c r="CW17" i="4" s="1"/>
  <c r="CV18" i="4"/>
  <c r="CV19" i="4"/>
  <c r="CV20" i="4"/>
  <c r="CV21" i="4"/>
  <c r="CV22" i="4"/>
  <c r="CV23" i="4"/>
  <c r="CV24" i="4"/>
  <c r="CV25" i="4"/>
  <c r="CV26" i="4"/>
  <c r="CW26" i="4" s="1"/>
  <c r="CV27" i="4"/>
  <c r="CW27" i="4" s="1"/>
  <c r="CV28" i="4"/>
  <c r="CV29" i="4"/>
  <c r="CV30" i="4"/>
  <c r="CV31" i="4"/>
  <c r="CV32" i="4"/>
  <c r="CW32" i="4" s="1"/>
  <c r="CV33" i="4"/>
  <c r="CW33" i="4" s="1"/>
  <c r="DN73" i="4" l="1"/>
  <c r="DM73" i="4"/>
  <c r="DU11" i="4"/>
  <c r="DC71" i="4"/>
  <c r="DD71" i="4" s="1"/>
  <c r="DD72" i="4" s="1"/>
  <c r="DC63" i="4"/>
  <c r="DD63" i="4" s="1"/>
  <c r="DD64" i="4" s="1"/>
  <c r="DC55" i="4"/>
  <c r="DD55" i="4" s="1"/>
  <c r="DD56" i="4" s="1"/>
  <c r="DC47" i="4"/>
  <c r="DD47" i="4" s="1"/>
  <c r="DD48" i="4" s="1"/>
  <c r="DC39" i="4"/>
  <c r="DD39" i="4" s="1"/>
  <c r="DD40" i="4" s="1"/>
  <c r="DC31" i="4"/>
  <c r="DD31" i="4" s="1"/>
  <c r="DD32" i="4" s="1"/>
  <c r="DB63" i="4"/>
  <c r="DC61" i="4"/>
  <c r="DD61" i="4" s="1"/>
  <c r="DD62" i="4" s="1"/>
  <c r="DC37" i="4"/>
  <c r="DD37" i="4" s="1"/>
  <c r="DD38" i="4" s="1"/>
  <c r="DC69" i="4"/>
  <c r="DD69" i="4" s="1"/>
  <c r="DD70" i="4" s="1"/>
  <c r="DC45" i="4"/>
  <c r="DD45" i="4" s="1"/>
  <c r="DD46" i="4" s="1"/>
  <c r="DB31" i="4"/>
  <c r="DC29" i="4"/>
  <c r="DD29" i="4" s="1"/>
  <c r="DD30" i="4" s="1"/>
  <c r="DC41" i="4"/>
  <c r="DD41" i="4" s="1"/>
  <c r="DD42" i="4" s="1"/>
  <c r="DC53" i="4"/>
  <c r="DD53" i="4" s="1"/>
  <c r="DD54" i="4" s="1"/>
  <c r="DC43" i="4"/>
  <c r="DD43" i="4" s="1"/>
  <c r="DD44" i="4" s="1"/>
  <c r="DC27" i="4"/>
  <c r="DD27" i="4" s="1"/>
  <c r="DD28" i="4" s="1"/>
  <c r="DB55" i="4"/>
  <c r="DC25" i="4"/>
  <c r="DD25" i="4" s="1"/>
  <c r="DD26" i="4" s="1"/>
  <c r="DB47" i="4"/>
  <c r="DC59" i="4"/>
  <c r="DD59" i="4" s="1"/>
  <c r="DD60" i="4" s="1"/>
  <c r="DB71" i="4"/>
  <c r="DB39" i="4"/>
  <c r="DC57" i="4"/>
  <c r="DD57" i="4" s="1"/>
  <c r="DD58" i="4" s="1"/>
  <c r="DB69" i="4"/>
  <c r="DB61" i="4"/>
  <c r="DB53" i="4"/>
  <c r="DB45" i="4"/>
  <c r="DB37" i="4"/>
  <c r="DB29" i="4"/>
  <c r="DC67" i="4"/>
  <c r="DD67" i="4" s="1"/>
  <c r="DD68" i="4" s="1"/>
  <c r="DC51" i="4"/>
  <c r="DD51" i="4" s="1"/>
  <c r="DD52" i="4" s="1"/>
  <c r="DC35" i="4"/>
  <c r="DD35" i="4" s="1"/>
  <c r="DD36" i="4" s="1"/>
  <c r="DC65" i="4"/>
  <c r="DD65" i="4" s="1"/>
  <c r="DD66" i="4" s="1"/>
  <c r="DC49" i="4"/>
  <c r="DD49" i="4" s="1"/>
  <c r="DD50" i="4" s="1"/>
  <c r="DC33" i="4"/>
  <c r="DD33" i="4" s="1"/>
  <c r="DD34" i="4" s="1"/>
  <c r="DM74" i="4" l="1"/>
  <c r="CX13" i="4"/>
  <c r="CT35" i="4"/>
  <c r="CU35" i="4" s="1"/>
  <c r="CT36" i="4"/>
  <c r="CU36" i="4" s="1"/>
  <c r="CT37" i="4"/>
  <c r="CU37" i="4" s="1"/>
  <c r="CT38" i="4"/>
  <c r="CU38" i="4" s="1"/>
  <c r="CT39" i="4"/>
  <c r="CU39" i="4" s="1"/>
  <c r="CT40" i="4"/>
  <c r="CU40" i="4" s="1"/>
  <c r="CT41" i="4"/>
  <c r="CU41" i="4" s="1"/>
  <c r="CT42" i="4"/>
  <c r="CU42" i="4" s="1"/>
  <c r="CT43" i="4"/>
  <c r="CU43" i="4" s="1"/>
  <c r="CT44" i="4"/>
  <c r="CU44" i="4" s="1"/>
  <c r="CT45" i="4"/>
  <c r="CU45" i="4" s="1"/>
  <c r="CT46" i="4"/>
  <c r="CU46" i="4" s="1"/>
  <c r="CT47" i="4"/>
  <c r="CU47" i="4" s="1"/>
  <c r="CT48" i="4"/>
  <c r="CU48" i="4" s="1"/>
  <c r="CT49" i="4"/>
  <c r="CU49" i="4" s="1"/>
  <c r="CT50" i="4"/>
  <c r="CU50" i="4" s="1"/>
  <c r="CT51" i="4"/>
  <c r="CU51" i="4" s="1"/>
  <c r="CT52" i="4"/>
  <c r="CU52" i="4" s="1"/>
  <c r="CT53" i="4"/>
  <c r="CU53" i="4" s="1"/>
  <c r="CT55" i="4"/>
  <c r="CU55" i="4" s="1"/>
  <c r="CT56" i="4"/>
  <c r="CU56" i="4" s="1"/>
  <c r="CT57" i="4"/>
  <c r="CU57" i="4" s="1"/>
  <c r="CT58" i="4"/>
  <c r="CU58" i="4" s="1"/>
  <c r="CT59" i="4"/>
  <c r="CU59" i="4" s="1"/>
  <c r="CT60" i="4"/>
  <c r="CU60" i="4" s="1"/>
  <c r="CT61" i="4"/>
  <c r="CU61" i="4" s="1"/>
  <c r="CT62" i="4"/>
  <c r="CU62" i="4" s="1"/>
  <c r="CT64" i="4"/>
  <c r="CU64" i="4" s="1"/>
  <c r="CT65" i="4"/>
  <c r="CU65" i="4" s="1"/>
  <c r="CT66" i="4"/>
  <c r="CU66" i="4" s="1"/>
  <c r="CT70" i="4"/>
  <c r="CU70" i="4" s="1"/>
  <c r="CT26" i="4"/>
  <c r="CU26" i="4" s="1"/>
  <c r="CT27" i="4"/>
  <c r="CU27" i="4" s="1"/>
  <c r="CT32" i="4"/>
  <c r="CU32" i="4" s="1"/>
  <c r="CT33" i="4"/>
  <c r="CU33" i="4" s="1"/>
  <c r="CT34" i="4"/>
  <c r="CU34" i="4" s="1"/>
  <c r="Y13" i="4" l="1"/>
  <c r="DJ13" i="4" s="1"/>
  <c r="AA13" i="4"/>
  <c r="AC13" i="4"/>
  <c r="AE13" i="4"/>
  <c r="AG13" i="4"/>
  <c r="AI13" i="4"/>
  <c r="AH11" i="4" l="1"/>
  <c r="AD11" i="4"/>
  <c r="AI30" i="4" l="1"/>
  <c r="AI34" i="4"/>
  <c r="AI36" i="4"/>
  <c r="AI40" i="4"/>
  <c r="AI44" i="4"/>
  <c r="AI45" i="4"/>
  <c r="AI46" i="4"/>
  <c r="AI51" i="4"/>
  <c r="AI70" i="4"/>
  <c r="AI71" i="4"/>
  <c r="AI72" i="4"/>
  <c r="AG32" i="4"/>
  <c r="AG34" i="4"/>
  <c r="AG36" i="4"/>
  <c r="AG38" i="4"/>
  <c r="AG39" i="4"/>
  <c r="AG40" i="4"/>
  <c r="AG42" i="4"/>
  <c r="AG44" i="4"/>
  <c r="AG46" i="4"/>
  <c r="AG48" i="4"/>
  <c r="AG50" i="4"/>
  <c r="AG51" i="4"/>
  <c r="AG52" i="4"/>
  <c r="AG53" i="4"/>
  <c r="AG54" i="4"/>
  <c r="AG55" i="4"/>
  <c r="AG56" i="4"/>
  <c r="AG58" i="4"/>
  <c r="AG59" i="4"/>
  <c r="AG60" i="4"/>
  <c r="AG61" i="4"/>
  <c r="AG62" i="4"/>
  <c r="AG63" i="4"/>
  <c r="AG64" i="4"/>
  <c r="AG65" i="4"/>
  <c r="AG66" i="4"/>
  <c r="AG67" i="4"/>
  <c r="AG68" i="4"/>
  <c r="AG69" i="4"/>
  <c r="AG70" i="4"/>
  <c r="AG71" i="4"/>
  <c r="AG72" i="4"/>
  <c r="AE52" i="4"/>
  <c r="AE54" i="4"/>
  <c r="AE66" i="4"/>
  <c r="AE67" i="4"/>
  <c r="AE68" i="4"/>
  <c r="AE69" i="4"/>
  <c r="AE70" i="4"/>
  <c r="AE71" i="4"/>
  <c r="AE72" i="4"/>
  <c r="AC32" i="4"/>
  <c r="AC34" i="4"/>
  <c r="AC36" i="4"/>
  <c r="AC38" i="4"/>
  <c r="AC39" i="4"/>
  <c r="AC40" i="4"/>
  <c r="AC42" i="4"/>
  <c r="AC44" i="4"/>
  <c r="AC46" i="4"/>
  <c r="AC47" i="4"/>
  <c r="AC48" i="4"/>
  <c r="AC50" i="4"/>
  <c r="AC52" i="4"/>
  <c r="AC54" i="4"/>
  <c r="AC66" i="4"/>
  <c r="AC67" i="4"/>
  <c r="AC68" i="4"/>
  <c r="AC69" i="4"/>
  <c r="AC70" i="4"/>
  <c r="AC71" i="4"/>
  <c r="AC72" i="4"/>
  <c r="AA32" i="4"/>
  <c r="AA34" i="4"/>
  <c r="AA36" i="4"/>
  <c r="AA38" i="4"/>
  <c r="AA39" i="4"/>
  <c r="AA40" i="4"/>
  <c r="AA42" i="4"/>
  <c r="AA44" i="4"/>
  <c r="AA46" i="4"/>
  <c r="AA48" i="4"/>
  <c r="AA50" i="4"/>
  <c r="AA52" i="4"/>
  <c r="AA54" i="4"/>
  <c r="AA66" i="4"/>
  <c r="AA67" i="4"/>
  <c r="AA68" i="4"/>
  <c r="AA69" i="4"/>
  <c r="AA70" i="4"/>
  <c r="AA71" i="4"/>
  <c r="AA72" i="4"/>
  <c r="Y34" i="4"/>
  <c r="Y36" i="4"/>
  <c r="Y38" i="4"/>
  <c r="Y40" i="4"/>
  <c r="Y42" i="4"/>
  <c r="Y44" i="4"/>
  <c r="Y46" i="4"/>
  <c r="Y48" i="4"/>
  <c r="Y49" i="4"/>
  <c r="Y50" i="4"/>
  <c r="Y52" i="4"/>
  <c r="Y54" i="4"/>
  <c r="Y66" i="4"/>
  <c r="Y67" i="4"/>
  <c r="Y71" i="4"/>
  <c r="DJ71" i="4" s="1"/>
  <c r="Y72" i="4"/>
  <c r="DJ72" i="4" s="1"/>
  <c r="E3" i="4"/>
  <c r="B3" i="4"/>
  <c r="DJ54" i="4" l="1"/>
  <c r="DJ52" i="4"/>
  <c r="DJ66" i="4"/>
  <c r="DJ67" i="4"/>
  <c r="DR30" i="4"/>
  <c r="DR31" i="4"/>
  <c r="DR32" i="4"/>
  <c r="DR33" i="4"/>
  <c r="DR34" i="4"/>
  <c r="DR35" i="4"/>
  <c r="DR36" i="4"/>
  <c r="DR37" i="4"/>
  <c r="DR38" i="4"/>
  <c r="DR39" i="4"/>
  <c r="DR40" i="4"/>
  <c r="DR41" i="4"/>
  <c r="DR42" i="4"/>
  <c r="DR43" i="4"/>
  <c r="DR44" i="4"/>
  <c r="DR45" i="4"/>
  <c r="DR46" i="4"/>
  <c r="DR47" i="4"/>
  <c r="DR48" i="4"/>
  <c r="DR49" i="4"/>
  <c r="DR50" i="4"/>
  <c r="DR51" i="4"/>
  <c r="DR52" i="4"/>
  <c r="DR53" i="4"/>
  <c r="DR54" i="4"/>
  <c r="DR55" i="4"/>
  <c r="DR56" i="4"/>
  <c r="DR57" i="4"/>
  <c r="DR58" i="4"/>
  <c r="DR59" i="4"/>
  <c r="DR60" i="4"/>
  <c r="DR61" i="4"/>
  <c r="DR62" i="4"/>
  <c r="DR63" i="4"/>
  <c r="DR64" i="4"/>
  <c r="DR65" i="4"/>
  <c r="DR66" i="4"/>
  <c r="DR67" i="4"/>
  <c r="DR68" i="4"/>
  <c r="DR69" i="4"/>
  <c r="DR70" i="4"/>
  <c r="DR71" i="4"/>
  <c r="DR72" i="4"/>
  <c r="DR14" i="4"/>
  <c r="DR15" i="4"/>
  <c r="DR16" i="4"/>
  <c r="DR17" i="4"/>
  <c r="DR18" i="4"/>
  <c r="DR19" i="4"/>
  <c r="DR20" i="4"/>
  <c r="DR21" i="4"/>
  <c r="DR22" i="4"/>
  <c r="DR23" i="4"/>
  <c r="DR24" i="4"/>
  <c r="DR25" i="4"/>
  <c r="DR26" i="4"/>
  <c r="DR27" i="4"/>
  <c r="DR28" i="4"/>
  <c r="DR29" i="4"/>
  <c r="DG29" i="4"/>
  <c r="DG30" i="4"/>
  <c r="DG31" i="4"/>
  <c r="DG32" i="4"/>
  <c r="DG33" i="4"/>
  <c r="DG34" i="4"/>
  <c r="DG35" i="4"/>
  <c r="DG36" i="4"/>
  <c r="DG37" i="4"/>
  <c r="DG38" i="4"/>
  <c r="DG39" i="4"/>
  <c r="DG40" i="4"/>
  <c r="DG41" i="4"/>
  <c r="DG42" i="4"/>
  <c r="DG43" i="4"/>
  <c r="DG44" i="4"/>
  <c r="DG45" i="4"/>
  <c r="DG46" i="4"/>
  <c r="DG47" i="4"/>
  <c r="DG48" i="4"/>
  <c r="DG49" i="4"/>
  <c r="DG50" i="4"/>
  <c r="DG51" i="4"/>
  <c r="DG52" i="4"/>
  <c r="DG53" i="4"/>
  <c r="DG54" i="4"/>
  <c r="DG55" i="4"/>
  <c r="DG56" i="4"/>
  <c r="DG57" i="4"/>
  <c r="DG58" i="4"/>
  <c r="DG59" i="4"/>
  <c r="DG60" i="4"/>
  <c r="DG61" i="4"/>
  <c r="DG62" i="4"/>
  <c r="DG63" i="4"/>
  <c r="DG64" i="4"/>
  <c r="DG65" i="4"/>
  <c r="DG66" i="4"/>
  <c r="DG67" i="4"/>
  <c r="DG68" i="4"/>
  <c r="DG69" i="4"/>
  <c r="DG70" i="4"/>
  <c r="DG71" i="4"/>
  <c r="DG72" i="4"/>
  <c r="DG14" i="4"/>
  <c r="DG15" i="4"/>
  <c r="DG16" i="4"/>
  <c r="DG17" i="4"/>
  <c r="DG18" i="4"/>
  <c r="DG19" i="4"/>
  <c r="DG20" i="4"/>
  <c r="DG21" i="4"/>
  <c r="DG22" i="4"/>
  <c r="DG23" i="4"/>
  <c r="DG24" i="4"/>
  <c r="DG25" i="4"/>
  <c r="DG26" i="4"/>
  <c r="DG27" i="4"/>
  <c r="DG28" i="4"/>
  <c r="BG28" i="4"/>
  <c r="BG29" i="4"/>
  <c r="BG30" i="4"/>
  <c r="BG31" i="4"/>
  <c r="BG32" i="4"/>
  <c r="BG33" i="4"/>
  <c r="BG34" i="4"/>
  <c r="BG35" i="4"/>
  <c r="BG36" i="4"/>
  <c r="BG37" i="4"/>
  <c r="BG38" i="4"/>
  <c r="BG39" i="4"/>
  <c r="BG40" i="4"/>
  <c r="BG41" i="4"/>
  <c r="BG42" i="4"/>
  <c r="BG43" i="4"/>
  <c r="BG44" i="4"/>
  <c r="BG45" i="4"/>
  <c r="BG46" i="4"/>
  <c r="BG47" i="4"/>
  <c r="BG48" i="4"/>
  <c r="BG49" i="4"/>
  <c r="BG50" i="4"/>
  <c r="BG51" i="4"/>
  <c r="BG52" i="4"/>
  <c r="BG53" i="4"/>
  <c r="BG54" i="4"/>
  <c r="BG55" i="4"/>
  <c r="BG56" i="4"/>
  <c r="BG57" i="4"/>
  <c r="BG58" i="4"/>
  <c r="BG59" i="4"/>
  <c r="BG60" i="4"/>
  <c r="BG61" i="4"/>
  <c r="BG62" i="4"/>
  <c r="BG63" i="4"/>
  <c r="BG64" i="4"/>
  <c r="BG65" i="4"/>
  <c r="BG66" i="4"/>
  <c r="BG67" i="4"/>
  <c r="BG68" i="4"/>
  <c r="BG69" i="4"/>
  <c r="BG70" i="4"/>
  <c r="BG71" i="4"/>
  <c r="BG72" i="4"/>
  <c r="BG14" i="4"/>
  <c r="BG15" i="4"/>
  <c r="BG16" i="4"/>
  <c r="BG17" i="4"/>
  <c r="BG18" i="4"/>
  <c r="BG19" i="4"/>
  <c r="BG20" i="4"/>
  <c r="BG21" i="4"/>
  <c r="BG22" i="4"/>
  <c r="BG23" i="4"/>
  <c r="BG24" i="4"/>
  <c r="BG25" i="4"/>
  <c r="BG26" i="4"/>
  <c r="BG27" i="4"/>
  <c r="BY32" i="4" l="1"/>
  <c r="BY34" i="4"/>
  <c r="BY36" i="4"/>
  <c r="BY38" i="4"/>
  <c r="BY39" i="4"/>
  <c r="BY40" i="4"/>
  <c r="BY42" i="4"/>
  <c r="BY44" i="4"/>
  <c r="BY46" i="4"/>
  <c r="BY47" i="4"/>
  <c r="BY48" i="4"/>
  <c r="BY50" i="4"/>
  <c r="BY52" i="4"/>
  <c r="BY54" i="4"/>
  <c r="BY66" i="4"/>
  <c r="BY67" i="4"/>
  <c r="BY68" i="4"/>
  <c r="BY69" i="4"/>
  <c r="BY70" i="4"/>
  <c r="BY71" i="4"/>
  <c r="BY72" i="4"/>
  <c r="DI14" i="4" l="1"/>
  <c r="DL14" i="4"/>
  <c r="DI15" i="4"/>
  <c r="DL15" i="4"/>
  <c r="DI16" i="4"/>
  <c r="DL16" i="4"/>
  <c r="DI17" i="4"/>
  <c r="DL17" i="4"/>
  <c r="DI18" i="4"/>
  <c r="DL18" i="4"/>
  <c r="DI19" i="4"/>
  <c r="DL19" i="4"/>
  <c r="DI20" i="4"/>
  <c r="DL20" i="4"/>
  <c r="DI21" i="4"/>
  <c r="DL21" i="4"/>
  <c r="DI22" i="4"/>
  <c r="DL22" i="4"/>
  <c r="DI23" i="4"/>
  <c r="DL23" i="4"/>
  <c r="DI24" i="4"/>
  <c r="DL24" i="4"/>
  <c r="DI25" i="4"/>
  <c r="DL25" i="4"/>
  <c r="DI26" i="4"/>
  <c r="DL26" i="4"/>
  <c r="DI27" i="4"/>
  <c r="DL27" i="4"/>
  <c r="DI28" i="4"/>
  <c r="DL28" i="4"/>
  <c r="DI29" i="4"/>
  <c r="DL29" i="4"/>
  <c r="DI30" i="4"/>
  <c r="DL30" i="4"/>
  <c r="DI31" i="4"/>
  <c r="DL31" i="4"/>
  <c r="DI32" i="4"/>
  <c r="DL32" i="4"/>
  <c r="DI33" i="4"/>
  <c r="DL33" i="4"/>
  <c r="DI34" i="4"/>
  <c r="DL34" i="4"/>
  <c r="DI35" i="4"/>
  <c r="DL35" i="4"/>
  <c r="DI36" i="4"/>
  <c r="DL36" i="4"/>
  <c r="DI37" i="4"/>
  <c r="DL37" i="4"/>
  <c r="DI38" i="4"/>
  <c r="DL38" i="4"/>
  <c r="DI39" i="4"/>
  <c r="DL39" i="4"/>
  <c r="DI40" i="4"/>
  <c r="DL40" i="4"/>
  <c r="DI41" i="4"/>
  <c r="DL41" i="4"/>
  <c r="DI42" i="4"/>
  <c r="DL42" i="4"/>
  <c r="DI43" i="4"/>
  <c r="DL43" i="4"/>
  <c r="DI44" i="4"/>
  <c r="DL44" i="4"/>
  <c r="DI45" i="4"/>
  <c r="DL45" i="4"/>
  <c r="DI46" i="4"/>
  <c r="DL46" i="4"/>
  <c r="DI47" i="4"/>
  <c r="DL47" i="4"/>
  <c r="DI48" i="4"/>
  <c r="DL48" i="4"/>
  <c r="DI49" i="4"/>
  <c r="DL49" i="4"/>
  <c r="DI50" i="4"/>
  <c r="DL50" i="4"/>
  <c r="DI51" i="4"/>
  <c r="DL51" i="4"/>
  <c r="DI52" i="4"/>
  <c r="DL52" i="4"/>
  <c r="DI53" i="4"/>
  <c r="DL53" i="4"/>
  <c r="DI54" i="4"/>
  <c r="DL54" i="4"/>
  <c r="DI55" i="4"/>
  <c r="DL55" i="4"/>
  <c r="DI56" i="4"/>
  <c r="DL56" i="4"/>
  <c r="DI57" i="4"/>
  <c r="DL57" i="4"/>
  <c r="DI58" i="4"/>
  <c r="DL58" i="4"/>
  <c r="DI59" i="4"/>
  <c r="DL59" i="4"/>
  <c r="DI60" i="4"/>
  <c r="DL60" i="4"/>
  <c r="DI61" i="4"/>
  <c r="DL61" i="4"/>
  <c r="DI62" i="4"/>
  <c r="DL62" i="4"/>
  <c r="DI63" i="4"/>
  <c r="DL63" i="4"/>
  <c r="DI64" i="4"/>
  <c r="DL64" i="4"/>
  <c r="DI65" i="4"/>
  <c r="DL65" i="4"/>
  <c r="DI66" i="4"/>
  <c r="DL66" i="4"/>
  <c r="DI67" i="4"/>
  <c r="DL67" i="4"/>
  <c r="DI68" i="4"/>
  <c r="DL68" i="4"/>
  <c r="DI69" i="4"/>
  <c r="DL69" i="4"/>
  <c r="DI70" i="4"/>
  <c r="DL70" i="4"/>
  <c r="DI71" i="4"/>
  <c r="DL71" i="4"/>
  <c r="DI72" i="4"/>
  <c r="DL72" i="4"/>
  <c r="AU18" i="4" l="1"/>
  <c r="CE21" i="4"/>
  <c r="CG21" i="4"/>
  <c r="CE22" i="4"/>
  <c r="CG22" i="4"/>
  <c r="CE23" i="4"/>
  <c r="CG23" i="4"/>
  <c r="CE24" i="4"/>
  <c r="CG24" i="4"/>
  <c r="CE25" i="4"/>
  <c r="CG25" i="4"/>
  <c r="CE26" i="4"/>
  <c r="CG26" i="4"/>
  <c r="CE27" i="4"/>
  <c r="CG27" i="4"/>
  <c r="CE28" i="4"/>
  <c r="CG28" i="4"/>
  <c r="CE29" i="4"/>
  <c r="CG29" i="4"/>
  <c r="CE30" i="4"/>
  <c r="CG30" i="4"/>
  <c r="CE31" i="4"/>
  <c r="CG31" i="4"/>
  <c r="CE32" i="4"/>
  <c r="CG32" i="4"/>
  <c r="CE33" i="4"/>
  <c r="CG33" i="4"/>
  <c r="CE34" i="4"/>
  <c r="CF34" i="4" s="1"/>
  <c r="CG34" i="4"/>
  <c r="CE35" i="4"/>
  <c r="CG35" i="4"/>
  <c r="CE36" i="4"/>
  <c r="CF36" i="4" s="1"/>
  <c r="CG36" i="4"/>
  <c r="CE37" i="4"/>
  <c r="CG37" i="4"/>
  <c r="CE38" i="4"/>
  <c r="CG38" i="4"/>
  <c r="CE39" i="4"/>
  <c r="CG39" i="4"/>
  <c r="CE40" i="4"/>
  <c r="CF40" i="4" s="1"/>
  <c r="CG40" i="4"/>
  <c r="CE41" i="4"/>
  <c r="CG41" i="4"/>
  <c r="CE42" i="4"/>
  <c r="CG42" i="4"/>
  <c r="CE43" i="4"/>
  <c r="CG43" i="4"/>
  <c r="CE44" i="4"/>
  <c r="CF44" i="4" s="1"/>
  <c r="CG44" i="4"/>
  <c r="CE45" i="4"/>
  <c r="CF45" i="4" s="1"/>
  <c r="CG45" i="4"/>
  <c r="CE46" i="4"/>
  <c r="CF46" i="4" s="1"/>
  <c r="CG46" i="4"/>
  <c r="CE47" i="4"/>
  <c r="CG47" i="4"/>
  <c r="CE48" i="4"/>
  <c r="CG48" i="4"/>
  <c r="CE49" i="4"/>
  <c r="CG49" i="4"/>
  <c r="CE50" i="4"/>
  <c r="CG50" i="4"/>
  <c r="CE51" i="4"/>
  <c r="CF51" i="4" s="1"/>
  <c r="CG51" i="4"/>
  <c r="CE52" i="4"/>
  <c r="CG52" i="4"/>
  <c r="CE53" i="4"/>
  <c r="CG53" i="4"/>
  <c r="CE54" i="4"/>
  <c r="CG54" i="4"/>
  <c r="CE55" i="4"/>
  <c r="CG55" i="4"/>
  <c r="CE56" i="4"/>
  <c r="CG56" i="4"/>
  <c r="CE57" i="4"/>
  <c r="CG57" i="4"/>
  <c r="CE58" i="4"/>
  <c r="CG58" i="4"/>
  <c r="CE59" i="4"/>
  <c r="CG59" i="4"/>
  <c r="CE60" i="4"/>
  <c r="CG60" i="4"/>
  <c r="CE61" i="4"/>
  <c r="CG61" i="4"/>
  <c r="CE62" i="4"/>
  <c r="CG62" i="4"/>
  <c r="CE63" i="4"/>
  <c r="CG63" i="4"/>
  <c r="CE64" i="4"/>
  <c r="CG64" i="4"/>
  <c r="CE65" i="4"/>
  <c r="CG65" i="4"/>
  <c r="CE66" i="4"/>
  <c r="CG66" i="4"/>
  <c r="CE67" i="4"/>
  <c r="CG67" i="4"/>
  <c r="CE68" i="4"/>
  <c r="CG68" i="4"/>
  <c r="CE69" i="4"/>
  <c r="CG69" i="4"/>
  <c r="CE70" i="4"/>
  <c r="CF70" i="4" s="1"/>
  <c r="CG70" i="4"/>
  <c r="CE71" i="4"/>
  <c r="CF71" i="4" s="1"/>
  <c r="CG71" i="4"/>
  <c r="CE72" i="4"/>
  <c r="CF72" i="4" s="1"/>
  <c r="CG72" i="4"/>
  <c r="CE14" i="4"/>
  <c r="CG14" i="4"/>
  <c r="CE15" i="4"/>
  <c r="CG15" i="4"/>
  <c r="CE16" i="4"/>
  <c r="CG16" i="4"/>
  <c r="CE17" i="4"/>
  <c r="CG17" i="4"/>
  <c r="CE18" i="4"/>
  <c r="CG18" i="4"/>
  <c r="CE19" i="4"/>
  <c r="CG19" i="4"/>
  <c r="CE20" i="4"/>
  <c r="CG20" i="4"/>
  <c r="CE13" i="4"/>
  <c r="CG13" i="4"/>
  <c r="AL18" i="4" l="1"/>
  <c r="I18" i="4"/>
  <c r="CK27" i="4"/>
  <c r="CK28" i="4"/>
  <c r="CK29" i="4"/>
  <c r="CK30" i="4"/>
  <c r="CK31" i="4"/>
  <c r="CK32" i="4"/>
  <c r="CK33" i="4"/>
  <c r="CK34" i="4"/>
  <c r="CK35" i="4"/>
  <c r="CK36" i="4"/>
  <c r="CK37" i="4"/>
  <c r="CK38" i="4"/>
  <c r="CK39" i="4"/>
  <c r="CK40" i="4"/>
  <c r="CK41" i="4"/>
  <c r="CK42" i="4"/>
  <c r="CK43" i="4"/>
  <c r="CK44" i="4"/>
  <c r="CK45" i="4"/>
  <c r="CK46" i="4"/>
  <c r="CK47" i="4"/>
  <c r="CK48" i="4"/>
  <c r="CK49" i="4"/>
  <c r="CK50" i="4"/>
  <c r="CK51" i="4"/>
  <c r="CK52" i="4"/>
  <c r="CK53" i="4"/>
  <c r="CK54" i="4"/>
  <c r="CK55" i="4"/>
  <c r="CK56" i="4"/>
  <c r="CK57" i="4"/>
  <c r="CK58" i="4"/>
  <c r="CK59" i="4"/>
  <c r="CK60" i="4"/>
  <c r="CK61" i="4"/>
  <c r="CK62" i="4"/>
  <c r="CK63" i="4"/>
  <c r="CK64" i="4"/>
  <c r="CK65" i="4"/>
  <c r="CK66" i="4"/>
  <c r="CK67" i="4"/>
  <c r="CK68" i="4"/>
  <c r="CK69" i="4"/>
  <c r="CK70" i="4"/>
  <c r="CK71" i="4"/>
  <c r="CK72" i="4"/>
  <c r="AK13" i="4"/>
  <c r="CL71" i="4" l="1"/>
  <c r="CL67" i="4"/>
  <c r="CL63" i="4"/>
  <c r="CL59" i="4"/>
  <c r="CL55" i="4"/>
  <c r="CL51" i="4"/>
  <c r="CL47" i="4"/>
  <c r="CL43" i="4"/>
  <c r="CL39" i="4"/>
  <c r="CL35" i="4"/>
  <c r="CL31" i="4"/>
  <c r="CL27" i="4"/>
  <c r="CL69" i="4"/>
  <c r="CL65" i="4"/>
  <c r="CL61" i="4"/>
  <c r="CL57" i="4"/>
  <c r="CL53" i="4"/>
  <c r="CL49" i="4"/>
  <c r="CL45" i="4"/>
  <c r="CL41" i="4"/>
  <c r="CL37" i="4"/>
  <c r="CL33" i="4"/>
  <c r="CL29" i="4"/>
  <c r="AK18" i="4"/>
  <c r="AK19" i="4"/>
  <c r="E67" i="3"/>
  <c r="DQ22" i="4"/>
  <c r="DS22" i="4"/>
  <c r="DQ23" i="4"/>
  <c r="DS23" i="4"/>
  <c r="DQ24" i="4"/>
  <c r="DS24" i="4"/>
  <c r="DQ25" i="4"/>
  <c r="DS25" i="4"/>
  <c r="DQ26" i="4"/>
  <c r="DS26" i="4"/>
  <c r="DQ27" i="4"/>
  <c r="DS27" i="4"/>
  <c r="DQ28" i="4"/>
  <c r="DS28" i="4"/>
  <c r="DQ29" i="4"/>
  <c r="DS29" i="4"/>
  <c r="DQ30" i="4"/>
  <c r="DS30" i="4"/>
  <c r="DQ31" i="4"/>
  <c r="DS31" i="4"/>
  <c r="DQ32" i="4"/>
  <c r="DS32" i="4"/>
  <c r="DQ33" i="4"/>
  <c r="DS33" i="4"/>
  <c r="DQ34" i="4"/>
  <c r="DS34" i="4"/>
  <c r="DQ35" i="4"/>
  <c r="DS35" i="4"/>
  <c r="DQ36" i="4"/>
  <c r="DS36" i="4"/>
  <c r="DQ37" i="4"/>
  <c r="DS37" i="4"/>
  <c r="DQ38" i="4"/>
  <c r="DS38" i="4"/>
  <c r="DQ39" i="4"/>
  <c r="DS39" i="4"/>
  <c r="DQ40" i="4"/>
  <c r="DS40" i="4"/>
  <c r="DQ41" i="4"/>
  <c r="DS41" i="4"/>
  <c r="DQ42" i="4"/>
  <c r="DS42" i="4"/>
  <c r="DQ43" i="4"/>
  <c r="DS43" i="4"/>
  <c r="DQ44" i="4"/>
  <c r="DS44" i="4"/>
  <c r="DQ45" i="4"/>
  <c r="DS45" i="4"/>
  <c r="DQ46" i="4"/>
  <c r="DS46" i="4"/>
  <c r="DQ47" i="4"/>
  <c r="DS47" i="4"/>
  <c r="DQ48" i="4"/>
  <c r="DS48" i="4"/>
  <c r="DQ49" i="4"/>
  <c r="DS49" i="4"/>
  <c r="DQ50" i="4"/>
  <c r="DS50" i="4"/>
  <c r="DQ51" i="4"/>
  <c r="DS51" i="4"/>
  <c r="DQ52" i="4"/>
  <c r="DS52" i="4"/>
  <c r="DQ53" i="4"/>
  <c r="DS53" i="4"/>
  <c r="DQ54" i="4"/>
  <c r="DS54" i="4"/>
  <c r="DQ55" i="4"/>
  <c r="DS55" i="4"/>
  <c r="DQ56" i="4"/>
  <c r="DS56" i="4"/>
  <c r="DQ57" i="4"/>
  <c r="DS57" i="4"/>
  <c r="DQ58" i="4"/>
  <c r="DS58" i="4"/>
  <c r="DQ59" i="4"/>
  <c r="DS59" i="4"/>
  <c r="DQ60" i="4"/>
  <c r="DS60" i="4"/>
  <c r="DQ61" i="4"/>
  <c r="DS61" i="4"/>
  <c r="DQ62" i="4"/>
  <c r="DS62" i="4"/>
  <c r="DQ63" i="4"/>
  <c r="DS63" i="4"/>
  <c r="DQ64" i="4"/>
  <c r="DS64" i="4"/>
  <c r="DQ65" i="4"/>
  <c r="DS65" i="4"/>
  <c r="DQ66" i="4"/>
  <c r="DS66" i="4"/>
  <c r="DQ67" i="4"/>
  <c r="DS67" i="4"/>
  <c r="DQ68" i="4"/>
  <c r="DS68" i="4"/>
  <c r="DQ69" i="4"/>
  <c r="DS69" i="4"/>
  <c r="DQ70" i="4"/>
  <c r="DS70" i="4"/>
  <c r="DQ71" i="4"/>
  <c r="DS71" i="4"/>
  <c r="DQ72" i="4"/>
  <c r="DS72" i="4"/>
  <c r="DQ14" i="4"/>
  <c r="DS14" i="4"/>
  <c r="DQ15" i="4"/>
  <c r="DS15" i="4"/>
  <c r="DQ16" i="4"/>
  <c r="DS16" i="4"/>
  <c r="DQ17" i="4"/>
  <c r="DS17" i="4"/>
  <c r="DQ18" i="4"/>
  <c r="DS18" i="4"/>
  <c r="DQ19" i="4"/>
  <c r="DS19" i="4"/>
  <c r="DQ20" i="4"/>
  <c r="DS20" i="4"/>
  <c r="DQ21" i="4"/>
  <c r="DS21" i="4"/>
  <c r="DL13" i="4"/>
  <c r="I5" i="5"/>
  <c r="I6" i="5"/>
  <c r="I4" i="5"/>
  <c r="CN14" i="4"/>
  <c r="CO14" i="4" s="1"/>
  <c r="CN17" i="4"/>
  <c r="CO17" i="4" s="1"/>
  <c r="CN18" i="4"/>
  <c r="CO18" i="4" s="1"/>
  <c r="CN19" i="4"/>
  <c r="CO19" i="4" s="1"/>
  <c r="CN20" i="4"/>
  <c r="CO20" i="4" s="1"/>
  <c r="CN21" i="4"/>
  <c r="CO21" i="4" s="1"/>
  <c r="CN22" i="4"/>
  <c r="CO22" i="4" s="1"/>
  <c r="CN24" i="4"/>
  <c r="CO24" i="4" s="1"/>
  <c r="CN26" i="4"/>
  <c r="CO26" i="4" s="1"/>
  <c r="CN28" i="4"/>
  <c r="CO28" i="4" s="1"/>
  <c r="CN30" i="4"/>
  <c r="CO30" i="4" s="1"/>
  <c r="CN32" i="4"/>
  <c r="CO32" i="4" s="1"/>
  <c r="CN34" i="4"/>
  <c r="CO34" i="4" s="1"/>
  <c r="CN36" i="4"/>
  <c r="CO36" i="4" s="1"/>
  <c r="CN38" i="4"/>
  <c r="CO38" i="4" s="1"/>
  <c r="CN39" i="4"/>
  <c r="CO39" i="4" s="1"/>
  <c r="CN40" i="4"/>
  <c r="CO40" i="4" s="1"/>
  <c r="CN41" i="4"/>
  <c r="CO41" i="4" s="1"/>
  <c r="CN42" i="4"/>
  <c r="CO42" i="4" s="1"/>
  <c r="CN43" i="4"/>
  <c r="CO43" i="4" s="1"/>
  <c r="CN44" i="4"/>
  <c r="CO44" i="4" s="1"/>
  <c r="CN45" i="4"/>
  <c r="CO45" i="4" s="1"/>
  <c r="CN46" i="4"/>
  <c r="CO46" i="4" s="1"/>
  <c r="CN47" i="4"/>
  <c r="CO47" i="4" s="1"/>
  <c r="CN48" i="4"/>
  <c r="CO48" i="4" s="1"/>
  <c r="CN50" i="4"/>
  <c r="CO50" i="4" s="1"/>
  <c r="CN51" i="4"/>
  <c r="CO51" i="4" s="1"/>
  <c r="CN52" i="4"/>
  <c r="CO52" i="4" s="1"/>
  <c r="CN54" i="4"/>
  <c r="CO54" i="4" s="1"/>
  <c r="CN55" i="4"/>
  <c r="CO55" i="4" s="1"/>
  <c r="CN56" i="4"/>
  <c r="CO56" i="4" s="1"/>
  <c r="CN57" i="4"/>
  <c r="CO57" i="4" s="1"/>
  <c r="CN58" i="4"/>
  <c r="CO58" i="4" s="1"/>
  <c r="CN59" i="4"/>
  <c r="CO59" i="4" s="1"/>
  <c r="CN60" i="4"/>
  <c r="CO60" i="4" s="1"/>
  <c r="CN61" i="4"/>
  <c r="CO61" i="4" s="1"/>
  <c r="CN62" i="4"/>
  <c r="CO62" i="4" s="1"/>
  <c r="CN63" i="4"/>
  <c r="CO63" i="4" s="1"/>
  <c r="CN64" i="4"/>
  <c r="CO64" i="4" s="1"/>
  <c r="CN65" i="4"/>
  <c r="CO65" i="4" s="1"/>
  <c r="CN66" i="4"/>
  <c r="CO66" i="4" s="1"/>
  <c r="CN67" i="4"/>
  <c r="CO67" i="4" s="1"/>
  <c r="CN68" i="4"/>
  <c r="CO68" i="4" s="1"/>
  <c r="CN69" i="4"/>
  <c r="CO69" i="4" s="1"/>
  <c r="CN70" i="4"/>
  <c r="CO70" i="4" s="1"/>
  <c r="CN71" i="4"/>
  <c r="CO71" i="4" s="1"/>
  <c r="CN72" i="4"/>
  <c r="CO72" i="4" s="1"/>
  <c r="CN13" i="4"/>
  <c r="CC32" i="4"/>
  <c r="CC34" i="4"/>
  <c r="CC36" i="4"/>
  <c r="CC38" i="4"/>
  <c r="CC39" i="4"/>
  <c r="CC40" i="4"/>
  <c r="CC42" i="4"/>
  <c r="CC44" i="4"/>
  <c r="CC46" i="4"/>
  <c r="CC48" i="4"/>
  <c r="CC50" i="4"/>
  <c r="CC51" i="4"/>
  <c r="CC52" i="4"/>
  <c r="CC53" i="4"/>
  <c r="CC54" i="4"/>
  <c r="CC55" i="4"/>
  <c r="CC56" i="4"/>
  <c r="CC58" i="4"/>
  <c r="CC59" i="4"/>
  <c r="CC60" i="4"/>
  <c r="CC61" i="4"/>
  <c r="CC62" i="4"/>
  <c r="CC63" i="4"/>
  <c r="CC64" i="4"/>
  <c r="CC65" i="4"/>
  <c r="CC66" i="4"/>
  <c r="CC67" i="4"/>
  <c r="CC68" i="4"/>
  <c r="CC69" i="4"/>
  <c r="CC70" i="4"/>
  <c r="CC71" i="4"/>
  <c r="CC72" i="4"/>
  <c r="CA52" i="4"/>
  <c r="CA54" i="4"/>
  <c r="CA66" i="4"/>
  <c r="CA67" i="4"/>
  <c r="CA68" i="4"/>
  <c r="CA69" i="4"/>
  <c r="CA70" i="4"/>
  <c r="CA71" i="4"/>
  <c r="CA72" i="4"/>
  <c r="BW32" i="4"/>
  <c r="BW34" i="4"/>
  <c r="BW36" i="4"/>
  <c r="BW38" i="4"/>
  <c r="BW39" i="4"/>
  <c r="BW40" i="4"/>
  <c r="BW42" i="4"/>
  <c r="BW44" i="4"/>
  <c r="BW46" i="4"/>
  <c r="BW48" i="4"/>
  <c r="BW50" i="4"/>
  <c r="BW52" i="4"/>
  <c r="BW54" i="4"/>
  <c r="BW66" i="4"/>
  <c r="BW67" i="4"/>
  <c r="BW68" i="4"/>
  <c r="BW69" i="4"/>
  <c r="BW70" i="4"/>
  <c r="BW71" i="4"/>
  <c r="BW72" i="4"/>
  <c r="BU34" i="4"/>
  <c r="BU36" i="4"/>
  <c r="BU38" i="4"/>
  <c r="BU40" i="4"/>
  <c r="BU42" i="4"/>
  <c r="BU44" i="4"/>
  <c r="BU46" i="4"/>
  <c r="BU48" i="4"/>
  <c r="BU49" i="4"/>
  <c r="BU50" i="4"/>
  <c r="BU52" i="4"/>
  <c r="BU54" i="4"/>
  <c r="BU66" i="4"/>
  <c r="BU67" i="4"/>
  <c r="BU71" i="4"/>
  <c r="BU72" i="4"/>
  <c r="BA26" i="4"/>
  <c r="BB26" i="4"/>
  <c r="BC26" i="4"/>
  <c r="BD26" i="4"/>
  <c r="BE26" i="4"/>
  <c r="BF26" i="4"/>
  <c r="BE27" i="4"/>
  <c r="BF27" i="4"/>
  <c r="BA28" i="4"/>
  <c r="BB28" i="4"/>
  <c r="BC28" i="4"/>
  <c r="BD28" i="4"/>
  <c r="BE28" i="4"/>
  <c r="BF28" i="4"/>
  <c r="BE29" i="4"/>
  <c r="BF29" i="4"/>
  <c r="BA30" i="4"/>
  <c r="BB30" i="4"/>
  <c r="BC30" i="4"/>
  <c r="BD30" i="4"/>
  <c r="BE30" i="4"/>
  <c r="BF30" i="4"/>
  <c r="BE31" i="4"/>
  <c r="BF31" i="4"/>
  <c r="BA32" i="4"/>
  <c r="BB32" i="4"/>
  <c r="BC32" i="4"/>
  <c r="BD32" i="4"/>
  <c r="BE32" i="4"/>
  <c r="BF32" i="4"/>
  <c r="BE33" i="4"/>
  <c r="BF33" i="4"/>
  <c r="BA34" i="4"/>
  <c r="BB34" i="4"/>
  <c r="BC34" i="4"/>
  <c r="BD34" i="4"/>
  <c r="BE34" i="4"/>
  <c r="BF34" i="4"/>
  <c r="BE14" i="4"/>
  <c r="BF14" i="4"/>
  <c r="BF15" i="4"/>
  <c r="BE16" i="4"/>
  <c r="BF16" i="4"/>
  <c r="BE17" i="4"/>
  <c r="BE18" i="4"/>
  <c r="BF18" i="4"/>
  <c r="BE19" i="4"/>
  <c r="BF19" i="4"/>
  <c r="BB20" i="4"/>
  <c r="BC20" i="4"/>
  <c r="BD20" i="4"/>
  <c r="BE20" i="4"/>
  <c r="BF20" i="4"/>
  <c r="BE21" i="4"/>
  <c r="BF21" i="4"/>
  <c r="BA22" i="4"/>
  <c r="BB22" i="4"/>
  <c r="BC22" i="4"/>
  <c r="BD22" i="4"/>
  <c r="BE22" i="4"/>
  <c r="BF22" i="4"/>
  <c r="BE23" i="4"/>
  <c r="BF23" i="4"/>
  <c r="BA24" i="4"/>
  <c r="BB24" i="4"/>
  <c r="BC24" i="4"/>
  <c r="BD24" i="4"/>
  <c r="BE24" i="4"/>
  <c r="BF24" i="4"/>
  <c r="BE25" i="4"/>
  <c r="BF25" i="4"/>
  <c r="AK30" i="4"/>
  <c r="AK32" i="4"/>
  <c r="AK34" i="4"/>
  <c r="AK36" i="4"/>
  <c r="AK38" i="4"/>
  <c r="AK39" i="4"/>
  <c r="AK40" i="4"/>
  <c r="AK41" i="4"/>
  <c r="AK42" i="4"/>
  <c r="AK43" i="4"/>
  <c r="AK44" i="4"/>
  <c r="AK45" i="4"/>
  <c r="AK46" i="4"/>
  <c r="AK47" i="4"/>
  <c r="AK48" i="4"/>
  <c r="AK50" i="4"/>
  <c r="AK51" i="4"/>
  <c r="AK52" i="4"/>
  <c r="AK54" i="4"/>
  <c r="AK55" i="4"/>
  <c r="AK56" i="4"/>
  <c r="AK57" i="4"/>
  <c r="AK58" i="4"/>
  <c r="AK59" i="4"/>
  <c r="AK60" i="4"/>
  <c r="AK61" i="4"/>
  <c r="AK62" i="4"/>
  <c r="AK63" i="4"/>
  <c r="AK64" i="4"/>
  <c r="AK65" i="4"/>
  <c r="AK66" i="4"/>
  <c r="AK67" i="4"/>
  <c r="AK68" i="4"/>
  <c r="AK69" i="4"/>
  <c r="AK70" i="4"/>
  <c r="AK71" i="4"/>
  <c r="AK72" i="4"/>
  <c r="AK14" i="4"/>
  <c r="AK17" i="4"/>
  <c r="AK20" i="4"/>
  <c r="AK21" i="4"/>
  <c r="AK22" i="4"/>
  <c r="AK24" i="4"/>
  <c r="AK26" i="4"/>
  <c r="AK28" i="4"/>
  <c r="CM43" i="4" l="1"/>
  <c r="CM44" i="4" s="1"/>
  <c r="CM37" i="4"/>
  <c r="CM38" i="4" s="1"/>
  <c r="CM69" i="4"/>
  <c r="CM70" i="4" s="1"/>
  <c r="CM47" i="4"/>
  <c r="CM48" i="4" s="1"/>
  <c r="CM41" i="4"/>
  <c r="CM42" i="4" s="1"/>
  <c r="CM51" i="4"/>
  <c r="CM52" i="4" s="1"/>
  <c r="CM45" i="4"/>
  <c r="CM46" i="4" s="1"/>
  <c r="CM55" i="4"/>
  <c r="CM56" i="4" s="1"/>
  <c r="CM65" i="4"/>
  <c r="CM66" i="4" s="1"/>
  <c r="CM49" i="4"/>
  <c r="CM50" i="4" s="1"/>
  <c r="CM27" i="4"/>
  <c r="CM59" i="4"/>
  <c r="CM60" i="4" s="1"/>
  <c r="CM53" i="4"/>
  <c r="CM54" i="4" s="1"/>
  <c r="CM31" i="4"/>
  <c r="CM32" i="4" s="1"/>
  <c r="CM63" i="4"/>
  <c r="CM64" i="4" s="1"/>
  <c r="CM33" i="4"/>
  <c r="CM34" i="4" s="1"/>
  <c r="CM57" i="4"/>
  <c r="CM58" i="4" s="1"/>
  <c r="CM35" i="4"/>
  <c r="CM36" i="4" s="1"/>
  <c r="CM67" i="4"/>
  <c r="CM68" i="4" s="1"/>
  <c r="CM29" i="4"/>
  <c r="CM61" i="4"/>
  <c r="CM62" i="4" s="1"/>
  <c r="CM39" i="4"/>
  <c r="CM40" i="4" s="1"/>
  <c r="CM71" i="4"/>
  <c r="CM72" i="4" s="1"/>
  <c r="CF30" i="4"/>
  <c r="CO13" i="4"/>
  <c r="CM30" i="4" l="1"/>
  <c r="CF69" i="4" s="1"/>
  <c r="AI69" i="4" s="1"/>
  <c r="CF68" i="4"/>
  <c r="AI68" i="4" s="1"/>
  <c r="CM28" i="4"/>
  <c r="CF67" i="4" s="1"/>
  <c r="AI67" i="4" s="1"/>
  <c r="CF66" i="4"/>
  <c r="AI66" i="4" s="1"/>
  <c r="AU26" i="4"/>
  <c r="AL26" i="4" l="1"/>
  <c r="I26" i="4"/>
  <c r="N11" i="4"/>
  <c r="AV13" i="4" l="1"/>
  <c r="AU13" i="4"/>
  <c r="AV15" i="4"/>
  <c r="AV16" i="4"/>
  <c r="AV17" i="4"/>
  <c r="AV18" i="4"/>
  <c r="AV19" i="4"/>
  <c r="AV20" i="4"/>
  <c r="AV21" i="4"/>
  <c r="AV22" i="4"/>
  <c r="AV23" i="4"/>
  <c r="AV24" i="4"/>
  <c r="AV25" i="4"/>
  <c r="AV26" i="4"/>
  <c r="AV27" i="4"/>
  <c r="AV28" i="4"/>
  <c r="AV29" i="4"/>
  <c r="AV30" i="4"/>
  <c r="AV31" i="4"/>
  <c r="AV32" i="4"/>
  <c r="AV33" i="4"/>
  <c r="AV34" i="4"/>
  <c r="AV35" i="4"/>
  <c r="AV36" i="4"/>
  <c r="AV37" i="4"/>
  <c r="AV38" i="4"/>
  <c r="AV39" i="4"/>
  <c r="AV40" i="4"/>
  <c r="AV41" i="4"/>
  <c r="AV42" i="4"/>
  <c r="AV43" i="4"/>
  <c r="AV44" i="4"/>
  <c r="AV45" i="4"/>
  <c r="AV46" i="4"/>
  <c r="AV47" i="4"/>
  <c r="AV48" i="4"/>
  <c r="AV49" i="4"/>
  <c r="AV50" i="4"/>
  <c r="AV51" i="4"/>
  <c r="AV52" i="4"/>
  <c r="AV53" i="4"/>
  <c r="AV54" i="4"/>
  <c r="AV55" i="4"/>
  <c r="AV56" i="4"/>
  <c r="AV57" i="4"/>
  <c r="AV58" i="4"/>
  <c r="AV59" i="4"/>
  <c r="AV60" i="4"/>
  <c r="AV61" i="4"/>
  <c r="AV62" i="4"/>
  <c r="AV63" i="4"/>
  <c r="AV64" i="4"/>
  <c r="AV65" i="4"/>
  <c r="AV66" i="4"/>
  <c r="AV67" i="4"/>
  <c r="AV68" i="4"/>
  <c r="AV69" i="4"/>
  <c r="AV70" i="4"/>
  <c r="AV71" i="4"/>
  <c r="AV72" i="4"/>
  <c r="AV14" i="4"/>
  <c r="AU14" i="4"/>
  <c r="AU15" i="4"/>
  <c r="AL13" i="4" l="1"/>
  <c r="I13" i="4"/>
  <c r="AZ13" i="4" s="1"/>
  <c r="AL14" i="4"/>
  <c r="I14" i="4"/>
  <c r="AL15" i="4"/>
  <c r="I15" i="4"/>
  <c r="AW15" i="4"/>
  <c r="AW14" i="4"/>
  <c r="CQ14" i="4" s="1"/>
  <c r="AW13" i="4"/>
  <c r="CQ13" i="4" s="1"/>
  <c r="AJ11" i="4"/>
  <c r="CR13" i="4" l="1"/>
  <c r="CR14" i="4"/>
  <c r="AX15" i="4"/>
  <c r="AY15" i="4" s="1"/>
  <c r="CQ15" i="4"/>
  <c r="CR15" i="4" s="1"/>
  <c r="CS15" i="4" s="1"/>
  <c r="AX13" i="4"/>
  <c r="AY13" i="4" s="1"/>
  <c r="AX14" i="4"/>
  <c r="AY14" i="4" s="1"/>
  <c r="BE13" i="4"/>
  <c r="BT14" i="4" l="1"/>
  <c r="CS14" i="4"/>
  <c r="CT14" i="4" s="1"/>
  <c r="CU14" i="4" s="1"/>
  <c r="AN14" i="4"/>
  <c r="AN13" i="4"/>
  <c r="CS13" i="4"/>
  <c r="CT13" i="4" s="1"/>
  <c r="Y15" i="4"/>
  <c r="AG15" i="4"/>
  <c r="AE15" i="4"/>
  <c r="AC15" i="4"/>
  <c r="AA15" i="4"/>
  <c r="BT15" i="4"/>
  <c r="AK15" i="4"/>
  <c r="BT13" i="4"/>
  <c r="DJ15" i="4" l="1"/>
  <c r="AG14" i="4"/>
  <c r="Y14" i="4"/>
  <c r="DJ14" i="4" s="1"/>
  <c r="DO14" i="4" s="1" a="1"/>
  <c r="DO14" i="4" s="1"/>
  <c r="H14" i="4" s="1"/>
  <c r="AE14" i="4"/>
  <c r="AA14" i="4"/>
  <c r="AC14" i="4"/>
  <c r="CU13" i="4"/>
  <c r="BY14" i="4"/>
  <c r="CC14" i="4"/>
  <c r="CA14" i="4"/>
  <c r="BU15" i="4"/>
  <c r="BY15" i="4"/>
  <c r="CC15" i="4"/>
  <c r="BW15" i="4"/>
  <c r="CA15" i="4"/>
  <c r="BW14" i="4"/>
  <c r="BU14" i="4"/>
  <c r="CN15" i="4"/>
  <c r="CA13" i="4"/>
  <c r="DK73" i="4"/>
  <c r="DO15" i="4" l="1" a="1"/>
  <c r="DO15" i="4" s="1"/>
  <c r="H15" i="4" s="1"/>
  <c r="CO15" i="4"/>
  <c r="M11" i="4"/>
  <c r="L11" i="4"/>
  <c r="K11" i="4"/>
  <c r="J11" i="4"/>
  <c r="AU72" i="4" l="1"/>
  <c r="I72" i="4" l="1"/>
  <c r="AL72" i="4"/>
  <c r="AW72" i="4"/>
  <c r="CQ72" i="4" l="1"/>
  <c r="CR72" i="4" s="1"/>
  <c r="AX72" i="4"/>
  <c r="AY72" i="4" s="1"/>
  <c r="BT72" i="4" s="1"/>
  <c r="DT72" i="4"/>
  <c r="DV72" i="4" s="1"/>
  <c r="Y4" i="3"/>
  <c r="Y3" i="3"/>
  <c r="Q4" i="3"/>
  <c r="E4" i="3"/>
  <c r="BM14" i="4"/>
  <c r="BM15" i="4"/>
  <c r="BM16" i="4"/>
  <c r="BM17" i="4"/>
  <c r="BM18" i="4"/>
  <c r="BM19" i="4"/>
  <c r="BM20" i="4"/>
  <c r="BN20" i="4"/>
  <c r="BM21" i="4"/>
  <c r="BM22" i="4"/>
  <c r="BN22" i="4"/>
  <c r="BM23" i="4"/>
  <c r="BM24" i="4"/>
  <c r="BN24" i="4"/>
  <c r="BM25" i="4"/>
  <c r="BN25" i="4"/>
  <c r="BM26" i="4"/>
  <c r="BN26" i="4"/>
  <c r="BM27" i="4"/>
  <c r="BN27" i="4"/>
  <c r="BM28" i="4"/>
  <c r="BN28" i="4"/>
  <c r="BM29" i="4"/>
  <c r="BM30" i="4"/>
  <c r="BN30" i="4"/>
  <c r="BM31" i="4"/>
  <c r="BM32" i="4"/>
  <c r="BN32" i="4"/>
  <c r="BM33" i="4"/>
  <c r="BN33" i="4"/>
  <c r="BM34" i="4"/>
  <c r="BN34" i="4"/>
  <c r="BM35" i="4"/>
  <c r="BM36" i="4"/>
  <c r="BN36" i="4"/>
  <c r="BM37" i="4"/>
  <c r="BM38" i="4"/>
  <c r="BN38" i="4"/>
  <c r="BM39" i="4"/>
  <c r="BN39" i="4"/>
  <c r="BM40" i="4"/>
  <c r="BN40" i="4"/>
  <c r="BM41" i="4"/>
  <c r="BM42" i="4"/>
  <c r="BM43" i="4"/>
  <c r="BM44" i="4"/>
  <c r="BM45" i="4"/>
  <c r="BM46" i="4"/>
  <c r="BM47" i="4"/>
  <c r="BM48" i="4"/>
  <c r="BM49" i="4"/>
  <c r="BM50" i="4"/>
  <c r="BM51" i="4"/>
  <c r="BM52" i="4"/>
  <c r="BN52" i="4"/>
  <c r="BM53" i="4"/>
  <c r="BM54" i="4"/>
  <c r="BM55" i="4"/>
  <c r="BM56" i="4"/>
  <c r="BN56" i="4"/>
  <c r="BM57" i="4"/>
  <c r="BN57" i="4"/>
  <c r="BM58" i="4"/>
  <c r="BN58" i="4"/>
  <c r="BM59" i="4"/>
  <c r="BM60" i="4"/>
  <c r="BN60" i="4"/>
  <c r="BM61" i="4"/>
  <c r="BN61" i="4"/>
  <c r="BM62" i="4"/>
  <c r="BM63" i="4"/>
  <c r="BM64" i="4"/>
  <c r="BN64" i="4"/>
  <c r="BM65" i="4"/>
  <c r="BN65" i="4"/>
  <c r="BM66" i="4"/>
  <c r="BN66" i="4"/>
  <c r="BM67" i="4"/>
  <c r="BM68" i="4"/>
  <c r="BN68" i="4"/>
  <c r="BM69" i="4"/>
  <c r="BN69" i="4"/>
  <c r="BM70" i="4"/>
  <c r="BN70" i="4"/>
  <c r="BM71" i="4"/>
  <c r="BN71" i="4"/>
  <c r="BM72" i="4"/>
  <c r="BN72" i="4"/>
  <c r="BH18" i="4"/>
  <c r="BI18" i="4"/>
  <c r="BL18" i="4"/>
  <c r="BK18" i="4"/>
  <c r="BI20" i="4"/>
  <c r="BJ20" i="4"/>
  <c r="BL20" i="4"/>
  <c r="BK20" i="4"/>
  <c r="BJ21" i="4"/>
  <c r="BH22" i="4"/>
  <c r="BI22" i="4"/>
  <c r="BJ22" i="4"/>
  <c r="BL22" i="4"/>
  <c r="BK22" i="4"/>
  <c r="BJ23" i="4"/>
  <c r="BH24" i="4"/>
  <c r="BI24" i="4"/>
  <c r="BJ24" i="4"/>
  <c r="BL24" i="4"/>
  <c r="BK24" i="4"/>
  <c r="BH26" i="4"/>
  <c r="BI26" i="4"/>
  <c r="BJ26" i="4"/>
  <c r="BL26" i="4"/>
  <c r="BK26" i="4"/>
  <c r="BH28" i="4"/>
  <c r="BI28" i="4"/>
  <c r="BJ28" i="4"/>
  <c r="BL28" i="4"/>
  <c r="BK28" i="4"/>
  <c r="BH30" i="4"/>
  <c r="BI30" i="4"/>
  <c r="BJ30" i="4"/>
  <c r="BL30" i="4"/>
  <c r="BK30" i="4"/>
  <c r="BH32" i="4"/>
  <c r="BI32" i="4"/>
  <c r="BJ32" i="4"/>
  <c r="BL32" i="4"/>
  <c r="BK32" i="4"/>
  <c r="BH34" i="4"/>
  <c r="BI34" i="4"/>
  <c r="BJ34" i="4"/>
  <c r="BL34" i="4"/>
  <c r="BK34" i="4"/>
  <c r="BI36" i="4"/>
  <c r="BJ36" i="4"/>
  <c r="BL36" i="4"/>
  <c r="BK36" i="4"/>
  <c r="BI38" i="4"/>
  <c r="BJ38" i="4"/>
  <c r="BL38" i="4"/>
  <c r="BK38" i="4"/>
  <c r="BI40" i="4"/>
  <c r="BJ40" i="4"/>
  <c r="BL40" i="4"/>
  <c r="BK40" i="4"/>
  <c r="CD32" i="4"/>
  <c r="CD34" i="4"/>
  <c r="CD36" i="4"/>
  <c r="CD38" i="4"/>
  <c r="CD39" i="4"/>
  <c r="CD40" i="4"/>
  <c r="CD42" i="4"/>
  <c r="CD44" i="4"/>
  <c r="CD46" i="4"/>
  <c r="CD48" i="4"/>
  <c r="CD50" i="4"/>
  <c r="CD51" i="4"/>
  <c r="CD52" i="4"/>
  <c r="CD53" i="4"/>
  <c r="CD54" i="4"/>
  <c r="CD55" i="4"/>
  <c r="CD56" i="4"/>
  <c r="CD58" i="4"/>
  <c r="CD59" i="4"/>
  <c r="CD60" i="4"/>
  <c r="CD61" i="4"/>
  <c r="CD62" i="4"/>
  <c r="CD63" i="4"/>
  <c r="CD64" i="4"/>
  <c r="CD65" i="4"/>
  <c r="CD66" i="4"/>
  <c r="CD67" i="4"/>
  <c r="CD68" i="4"/>
  <c r="CD69" i="4"/>
  <c r="CD70" i="4"/>
  <c r="CD71" i="4"/>
  <c r="CD72" i="4"/>
  <c r="CB52" i="4"/>
  <c r="CB54" i="4"/>
  <c r="CB66" i="4"/>
  <c r="CB67" i="4"/>
  <c r="CB68" i="4"/>
  <c r="CB69" i="4"/>
  <c r="CB70" i="4"/>
  <c r="CB71" i="4"/>
  <c r="CB72" i="4"/>
  <c r="CB13" i="4"/>
  <c r="CS72" i="4" l="1"/>
  <c r="CT72" i="4" s="1"/>
  <c r="CU72" i="4" s="1"/>
  <c r="AN72" i="4"/>
  <c r="DO72" i="4" a="1"/>
  <c r="DO72" i="4" s="1"/>
  <c r="CD15" i="4"/>
  <c r="CB15" i="4"/>
  <c r="AZ72" i="4"/>
  <c r="AZ26" i="4"/>
  <c r="AZ15" i="4"/>
  <c r="AZ14" i="4"/>
  <c r="BI14" i="4"/>
  <c r="CD14" i="4"/>
  <c r="CB14" i="4"/>
  <c r="BJ14" i="4"/>
  <c r="BL14" i="4"/>
  <c r="BK14" i="4"/>
  <c r="BD14" i="4" l="1"/>
  <c r="BB14" i="4"/>
  <c r="BC14" i="4"/>
  <c r="BA14" i="4"/>
  <c r="BE15" i="4"/>
  <c r="BA15" i="4"/>
  <c r="BB15" i="4"/>
  <c r="BC15" i="4"/>
  <c r="BD15" i="4"/>
  <c r="BE72" i="4"/>
  <c r="BA72" i="4"/>
  <c r="BB72" i="4"/>
  <c r="BC72" i="4"/>
  <c r="BD72" i="4"/>
  <c r="BF72" i="4"/>
  <c r="BJ72" i="4"/>
  <c r="BL72" i="4"/>
  <c r="BH72" i="4"/>
  <c r="BK72" i="4"/>
  <c r="BI72" i="4"/>
  <c r="BH14" i="4"/>
  <c r="BC13" i="4"/>
  <c r="BB13" i="4"/>
  <c r="BJ13" i="4"/>
  <c r="BA13" i="4"/>
  <c r="BD13" i="4"/>
  <c r="BI13" i="4"/>
  <c r="BJ15" i="4"/>
  <c r="BN16" i="4"/>
  <c r="BN14" i="4"/>
  <c r="BN15" i="4"/>
  <c r="BL15" i="4"/>
  <c r="BH15" i="4"/>
  <c r="BK15" i="4"/>
  <c r="BI15" i="4"/>
  <c r="BJ16" i="4"/>
  <c r="BL16" i="4"/>
  <c r="BH16" i="4"/>
  <c r="BK16" i="4"/>
  <c r="BI16" i="4"/>
  <c r="BM13" i="4" l="1"/>
  <c r="BH13" i="4"/>
  <c r="BF13" i="4"/>
  <c r="DQ13" i="4"/>
  <c r="O11" i="4"/>
  <c r="X11" i="4"/>
  <c r="BU13" i="4"/>
  <c r="BV66" i="4"/>
  <c r="BV72" i="4"/>
  <c r="BV44" i="4"/>
  <c r="BV46" i="4"/>
  <c r="BV34" i="4"/>
  <c r="BV36" i="4"/>
  <c r="BV38" i="4"/>
  <c r="BV40" i="4"/>
  <c r="BV42" i="4"/>
  <c r="AW26" i="4"/>
  <c r="BZ14" i="4"/>
  <c r="BZ34" i="4"/>
  <c r="BZ36" i="4"/>
  <c r="BZ38" i="4"/>
  <c r="BZ40" i="4"/>
  <c r="BZ42" i="4"/>
  <c r="BZ44" i="4"/>
  <c r="BZ46" i="4"/>
  <c r="BZ48" i="4"/>
  <c r="BZ50" i="4"/>
  <c r="BZ52" i="4"/>
  <c r="BZ54" i="4"/>
  <c r="BZ66" i="4"/>
  <c r="BZ68" i="4"/>
  <c r="BZ70" i="4"/>
  <c r="BZ72" i="4"/>
  <c r="BX14" i="4"/>
  <c r="BX32" i="4"/>
  <c r="BX34" i="4"/>
  <c r="BX36" i="4"/>
  <c r="BX38" i="4"/>
  <c r="BX40" i="4"/>
  <c r="BX42" i="4"/>
  <c r="BX44" i="4"/>
  <c r="BX46" i="4"/>
  <c r="BX48" i="4"/>
  <c r="BX50" i="4"/>
  <c r="BX52" i="4"/>
  <c r="BX54" i="4"/>
  <c r="BX66" i="4"/>
  <c r="BX68" i="4"/>
  <c r="BX70" i="4"/>
  <c r="BX72" i="4"/>
  <c r="BV48" i="4"/>
  <c r="Y1" i="3"/>
  <c r="AB63" i="3"/>
  <c r="E65" i="3"/>
  <c r="T65" i="3"/>
  <c r="X65" i="3"/>
  <c r="E69" i="3"/>
  <c r="S69" i="3"/>
  <c r="G71" i="3"/>
  <c r="R71" i="3"/>
  <c r="G73" i="3"/>
  <c r="Q11" i="4"/>
  <c r="R11" i="4"/>
  <c r="S11" i="4"/>
  <c r="V11" i="4"/>
  <c r="B13" i="4"/>
  <c r="B14" i="4" s="1"/>
  <c r="AU16" i="4"/>
  <c r="AU17" i="4"/>
  <c r="AU19" i="4"/>
  <c r="AU20" i="4"/>
  <c r="AU22" i="4"/>
  <c r="AU23" i="4"/>
  <c r="AU24" i="4"/>
  <c r="AU25" i="4"/>
  <c r="AU27" i="4"/>
  <c r="AU28" i="4"/>
  <c r="AU29" i="4"/>
  <c r="AU30" i="4"/>
  <c r="AU31" i="4"/>
  <c r="AU32" i="4"/>
  <c r="AU33" i="4"/>
  <c r="AU34" i="4"/>
  <c r="AU35" i="4"/>
  <c r="AU36" i="4"/>
  <c r="AU37" i="4"/>
  <c r="AU38" i="4"/>
  <c r="AU39" i="4"/>
  <c r="AU40" i="4"/>
  <c r="AU41" i="4"/>
  <c r="AU42" i="4"/>
  <c r="AU43" i="4"/>
  <c r="AU44" i="4"/>
  <c r="AU45" i="4"/>
  <c r="AU46" i="4"/>
  <c r="AU47" i="4"/>
  <c r="AU48" i="4"/>
  <c r="AU49" i="4"/>
  <c r="AU50" i="4"/>
  <c r="AU51" i="4"/>
  <c r="AU52" i="4"/>
  <c r="AU53" i="4"/>
  <c r="AU54" i="4"/>
  <c r="AU55" i="4"/>
  <c r="AU56" i="4"/>
  <c r="AU57" i="4"/>
  <c r="AU58" i="4"/>
  <c r="AU59" i="4"/>
  <c r="AU60" i="4"/>
  <c r="AU61" i="4"/>
  <c r="AU62" i="4"/>
  <c r="AU63" i="4"/>
  <c r="AU64" i="4"/>
  <c r="AU65" i="4"/>
  <c r="AU66" i="4"/>
  <c r="AU67" i="4"/>
  <c r="AU68" i="4"/>
  <c r="AU69" i="4"/>
  <c r="AU70" i="4"/>
  <c r="AU71" i="4"/>
  <c r="BX71" i="4"/>
  <c r="BV71" i="4"/>
  <c r="BV49" i="4"/>
  <c r="BV67" i="4"/>
  <c r="BX39" i="4"/>
  <c r="BZ47" i="4"/>
  <c r="BX67" i="4"/>
  <c r="BZ67" i="4"/>
  <c r="BZ39" i="4"/>
  <c r="BZ69" i="4"/>
  <c r="BX69" i="4"/>
  <c r="BZ71" i="4"/>
  <c r="BV15" i="4"/>
  <c r="BZ15" i="4"/>
  <c r="BX15" i="4"/>
  <c r="AL16" i="4" l="1"/>
  <c r="I16" i="4"/>
  <c r="AZ16" i="4" s="1"/>
  <c r="AL17" i="4"/>
  <c r="I17" i="4"/>
  <c r="AZ17" i="4" s="1"/>
  <c r="AL19" i="4"/>
  <c r="I19" i="4"/>
  <c r="AZ19" i="4" s="1"/>
  <c r="AL20" i="4"/>
  <c r="I20" i="4"/>
  <c r="AZ20" i="4" s="1"/>
  <c r="AL22" i="4"/>
  <c r="I22" i="4"/>
  <c r="AZ22" i="4" s="1"/>
  <c r="AL23" i="4"/>
  <c r="I23" i="4"/>
  <c r="AZ23" i="4" s="1"/>
  <c r="AL24" i="4"/>
  <c r="I24" i="4"/>
  <c r="AZ24" i="4" s="1"/>
  <c r="I25" i="4"/>
  <c r="AZ25" i="4" s="1"/>
  <c r="AL25" i="4"/>
  <c r="AL27" i="4"/>
  <c r="I27" i="4"/>
  <c r="AZ27" i="4" s="1"/>
  <c r="I28" i="4"/>
  <c r="AZ28" i="4" s="1"/>
  <c r="AL28" i="4"/>
  <c r="I29" i="4"/>
  <c r="AZ29" i="4" s="1"/>
  <c r="AL29" i="4"/>
  <c r="I30" i="4"/>
  <c r="AZ30" i="4" s="1"/>
  <c r="AL30" i="4"/>
  <c r="AL31" i="4"/>
  <c r="I31" i="4"/>
  <c r="AZ31" i="4" s="1"/>
  <c r="AL32" i="4"/>
  <c r="I32" i="4"/>
  <c r="AZ32" i="4" s="1"/>
  <c r="AL33" i="4"/>
  <c r="I33" i="4"/>
  <c r="AZ33" i="4" s="1"/>
  <c r="AL34" i="4"/>
  <c r="I34" i="4"/>
  <c r="AZ34" i="4" s="1"/>
  <c r="AL35" i="4"/>
  <c r="I35" i="4"/>
  <c r="AZ35" i="4" s="1"/>
  <c r="I36" i="4"/>
  <c r="AZ36" i="4" s="1"/>
  <c r="AL36" i="4"/>
  <c r="AL37" i="4"/>
  <c r="I37" i="4"/>
  <c r="AZ37" i="4" s="1"/>
  <c r="AL38" i="4"/>
  <c r="I38" i="4"/>
  <c r="AZ38" i="4" s="1"/>
  <c r="AL39" i="4"/>
  <c r="I39" i="4"/>
  <c r="AZ39" i="4" s="1"/>
  <c r="I40" i="4"/>
  <c r="AZ40" i="4" s="1"/>
  <c r="AL40" i="4"/>
  <c r="AL41" i="4"/>
  <c r="I41" i="4"/>
  <c r="AZ41" i="4" s="1"/>
  <c r="AL42" i="4"/>
  <c r="I42" i="4"/>
  <c r="AZ42" i="4" s="1"/>
  <c r="I43" i="4"/>
  <c r="AZ43" i="4" s="1"/>
  <c r="AL43" i="4"/>
  <c r="AL44" i="4"/>
  <c r="I44" i="4"/>
  <c r="AZ44" i="4" s="1"/>
  <c r="I45" i="4"/>
  <c r="AZ45" i="4" s="1"/>
  <c r="AL45" i="4"/>
  <c r="AL46" i="4"/>
  <c r="I46" i="4"/>
  <c r="AZ46" i="4" s="1"/>
  <c r="AL47" i="4"/>
  <c r="I47" i="4"/>
  <c r="AZ47" i="4" s="1"/>
  <c r="AL48" i="4"/>
  <c r="I48" i="4"/>
  <c r="AZ48" i="4" s="1"/>
  <c r="I49" i="4"/>
  <c r="AZ49" i="4" s="1"/>
  <c r="AL49" i="4"/>
  <c r="AL50" i="4"/>
  <c r="I50" i="4"/>
  <c r="AZ50" i="4" s="1"/>
  <c r="AL51" i="4"/>
  <c r="I51" i="4"/>
  <c r="AZ51" i="4" s="1"/>
  <c r="AL52" i="4"/>
  <c r="I52" i="4"/>
  <c r="AZ52" i="4" s="1"/>
  <c r="AL53" i="4"/>
  <c r="I53" i="4"/>
  <c r="AZ53" i="4" s="1"/>
  <c r="BN53" i="4" s="1"/>
  <c r="AL54" i="4"/>
  <c r="I54" i="4"/>
  <c r="AZ54" i="4" s="1"/>
  <c r="AL55" i="4"/>
  <c r="I55" i="4"/>
  <c r="AZ55" i="4" s="1"/>
  <c r="AL56" i="4"/>
  <c r="I56" i="4"/>
  <c r="AZ56" i="4" s="1"/>
  <c r="AL57" i="4"/>
  <c r="I57" i="4"/>
  <c r="AZ57" i="4" s="1"/>
  <c r="AL58" i="4"/>
  <c r="I58" i="4"/>
  <c r="AZ58" i="4" s="1"/>
  <c r="AL59" i="4"/>
  <c r="I59" i="4"/>
  <c r="AZ59" i="4" s="1"/>
  <c r="AL60" i="4"/>
  <c r="I60" i="4"/>
  <c r="AZ60" i="4" s="1"/>
  <c r="AL61" i="4"/>
  <c r="I61" i="4"/>
  <c r="AZ61" i="4" s="1"/>
  <c r="AL62" i="4"/>
  <c r="I62" i="4"/>
  <c r="AZ62" i="4" s="1"/>
  <c r="AL63" i="4"/>
  <c r="I63" i="4"/>
  <c r="AZ63" i="4" s="1"/>
  <c r="AL64" i="4"/>
  <c r="I64" i="4"/>
  <c r="AZ64" i="4" s="1"/>
  <c r="I65" i="4"/>
  <c r="AZ65" i="4" s="1"/>
  <c r="AL65" i="4"/>
  <c r="I66" i="4"/>
  <c r="AZ66" i="4" s="1"/>
  <c r="AL66" i="4"/>
  <c r="I67" i="4"/>
  <c r="AZ67" i="4" s="1"/>
  <c r="AL67" i="4"/>
  <c r="AL68" i="4"/>
  <c r="I68" i="4"/>
  <c r="AZ68" i="4" s="1"/>
  <c r="I69" i="4"/>
  <c r="AZ69" i="4" s="1"/>
  <c r="AL69" i="4"/>
  <c r="I70" i="4"/>
  <c r="AZ70" i="4" s="1"/>
  <c r="AL70" i="4"/>
  <c r="I71" i="4"/>
  <c r="AZ71" i="4" s="1"/>
  <c r="AL71" i="4"/>
  <c r="AZ21" i="4"/>
  <c r="CQ26" i="4"/>
  <c r="CR26" i="4" s="1"/>
  <c r="CS26" i="4" s="1"/>
  <c r="AX26" i="4"/>
  <c r="AY26" i="4" s="1"/>
  <c r="BV13" i="4"/>
  <c r="T11" i="4"/>
  <c r="BG13" i="4"/>
  <c r="DR13" i="4"/>
  <c r="DR11" i="4" s="1"/>
  <c r="P11" i="4"/>
  <c r="DG73" i="4"/>
  <c r="DI13" i="4"/>
  <c r="DI73" i="4" s="1"/>
  <c r="B15" i="4"/>
  <c r="B16" i="4" s="1"/>
  <c r="AW69" i="4"/>
  <c r="AW62" i="4"/>
  <c r="AW54" i="4"/>
  <c r="AW46" i="4"/>
  <c r="AW24" i="4"/>
  <c r="AW68" i="4"/>
  <c r="AW65" i="4"/>
  <c r="AW61" i="4"/>
  <c r="AW57" i="4"/>
  <c r="AW53" i="4"/>
  <c r="AW49" i="4"/>
  <c r="AW45" i="4"/>
  <c r="AW38" i="4"/>
  <c r="AW35" i="4"/>
  <c r="AW31" i="4"/>
  <c r="AW23" i="4"/>
  <c r="AW50" i="4"/>
  <c r="AW42" i="4"/>
  <c r="AW39" i="4"/>
  <c r="AX39" i="4" s="1"/>
  <c r="AY39" i="4" s="1"/>
  <c r="AE39" i="4" s="1"/>
  <c r="AW28" i="4"/>
  <c r="AW52" i="4"/>
  <c r="AW44" i="4"/>
  <c r="AW34" i="4"/>
  <c r="AW22" i="4"/>
  <c r="AW71" i="4"/>
  <c r="AW67" i="4"/>
  <c r="AW64" i="4"/>
  <c r="AW56" i="4"/>
  <c r="AW48" i="4"/>
  <c r="AW41" i="4"/>
  <c r="AX41" i="4" s="1"/>
  <c r="AY41" i="4" s="1"/>
  <c r="AW37" i="4"/>
  <c r="AW30" i="4"/>
  <c r="AW27" i="4"/>
  <c r="AW70" i="4"/>
  <c r="AW66" i="4"/>
  <c r="AW63" i="4"/>
  <c r="AW59" i="4"/>
  <c r="AW55" i="4"/>
  <c r="AW51" i="4"/>
  <c r="AW47" i="4"/>
  <c r="AW43" i="4"/>
  <c r="AW40" i="4"/>
  <c r="AW36" i="4"/>
  <c r="AW33" i="4"/>
  <c r="AW29" i="4"/>
  <c r="AW25" i="4"/>
  <c r="AW20" i="4"/>
  <c r="AW16" i="4"/>
  <c r="AW21" i="4"/>
  <c r="AW19" i="4"/>
  <c r="AW18" i="4"/>
  <c r="CQ18" i="4" s="1"/>
  <c r="AZ18" i="4"/>
  <c r="AW17" i="4"/>
  <c r="CQ17" i="4" s="1"/>
  <c r="CR17" i="4" s="1"/>
  <c r="CS17" i="4" s="1"/>
  <c r="AW60" i="4"/>
  <c r="AW58" i="4"/>
  <c r="BZ32" i="4"/>
  <c r="AW32" i="4"/>
  <c r="BV14" i="4"/>
  <c r="DF73" i="4"/>
  <c r="BV54" i="4"/>
  <c r="BV50" i="4"/>
  <c r="BV52" i="4"/>
  <c r="DQ11" i="4"/>
  <c r="BC16" i="4" l="1"/>
  <c r="BA16" i="4"/>
  <c r="BD16" i="4"/>
  <c r="BB16" i="4"/>
  <c r="BD18" i="4"/>
  <c r="BA18" i="4"/>
  <c r="BB18" i="4"/>
  <c r="BC18" i="4"/>
  <c r="AG41" i="4"/>
  <c r="AC41" i="4"/>
  <c r="AE41" i="4"/>
  <c r="AA41" i="4"/>
  <c r="BI37" i="4"/>
  <c r="BJ37" i="4"/>
  <c r="BL37" i="4"/>
  <c r="BN37" i="4"/>
  <c r="BK37" i="4"/>
  <c r="BI35" i="4"/>
  <c r="BL35" i="4"/>
  <c r="BJ35" i="4"/>
  <c r="BK35" i="4"/>
  <c r="BN35" i="4"/>
  <c r="BI39" i="4"/>
  <c r="BJ39" i="4"/>
  <c r="BL39" i="4"/>
  <c r="BK39" i="4"/>
  <c r="BI41" i="4"/>
  <c r="BL41" i="4"/>
  <c r="BK41" i="4"/>
  <c r="BJ41" i="4"/>
  <c r="BN41" i="4"/>
  <c r="BD19" i="4"/>
  <c r="BA19" i="4"/>
  <c r="BB19" i="4"/>
  <c r="BC19" i="4"/>
  <c r="BH19" i="4"/>
  <c r="BI19" i="4"/>
  <c r="BJ19" i="4"/>
  <c r="BL19" i="4"/>
  <c r="BN19" i="4"/>
  <c r="BK19" i="4"/>
  <c r="BC33" i="4"/>
  <c r="BD33" i="4"/>
  <c r="BA33" i="4"/>
  <c r="BB33" i="4"/>
  <c r="BJ33" i="4"/>
  <c r="BL33" i="4"/>
  <c r="BK33" i="4"/>
  <c r="BH33" i="4"/>
  <c r="BI33" i="4"/>
  <c r="BC29" i="4"/>
  <c r="BD29" i="4"/>
  <c r="BB29" i="4"/>
  <c r="BA29" i="4"/>
  <c r="BH29" i="4"/>
  <c r="BN29" i="4"/>
  <c r="BI29" i="4"/>
  <c r="BJ29" i="4"/>
  <c r="BL29" i="4"/>
  <c r="BK29" i="4"/>
  <c r="BA25" i="4"/>
  <c r="BB25" i="4"/>
  <c r="BC25" i="4"/>
  <c r="BD25" i="4"/>
  <c r="BJ25" i="4"/>
  <c r="BL25" i="4"/>
  <c r="BK25" i="4"/>
  <c r="BI25" i="4"/>
  <c r="BH25" i="4"/>
  <c r="BA17" i="4"/>
  <c r="BB17" i="4"/>
  <c r="BD17" i="4"/>
  <c r="BJ17" i="4"/>
  <c r="BL17" i="4"/>
  <c r="BN17" i="4"/>
  <c r="BK17" i="4"/>
  <c r="BH17" i="4"/>
  <c r="BA23" i="4"/>
  <c r="BB23" i="4"/>
  <c r="BD23" i="4"/>
  <c r="BC23" i="4"/>
  <c r="BK23" i="4"/>
  <c r="BH23" i="4"/>
  <c r="BL23" i="4"/>
  <c r="BI23" i="4"/>
  <c r="BN23" i="4"/>
  <c r="BD27" i="4"/>
  <c r="BA27" i="4"/>
  <c r="BB27" i="4"/>
  <c r="BC27" i="4"/>
  <c r="BH27" i="4"/>
  <c r="BI27" i="4"/>
  <c r="BJ27" i="4"/>
  <c r="BL27" i="4"/>
  <c r="BK27" i="4"/>
  <c r="BA31" i="4"/>
  <c r="BB31" i="4"/>
  <c r="BD31" i="4"/>
  <c r="BC31" i="4"/>
  <c r="BK31" i="4"/>
  <c r="BH31" i="4"/>
  <c r="BI31" i="4"/>
  <c r="BL31" i="4"/>
  <c r="BJ31" i="4"/>
  <c r="BN31" i="4"/>
  <c r="BA21" i="4"/>
  <c r="BB21" i="4"/>
  <c r="BC21" i="4"/>
  <c r="BD21" i="4"/>
  <c r="BH21" i="4"/>
  <c r="BN21" i="4"/>
  <c r="BI21" i="4"/>
  <c r="BL21" i="4"/>
  <c r="BK21" i="4"/>
  <c r="B17" i="4"/>
  <c r="BE63" i="4"/>
  <c r="BC63" i="4"/>
  <c r="BF63" i="4"/>
  <c r="BA63" i="4"/>
  <c r="BB63" i="4"/>
  <c r="BD63" i="4"/>
  <c r="BH63" i="4"/>
  <c r="BI63" i="4"/>
  <c r="BJ63" i="4"/>
  <c r="BL63" i="4"/>
  <c r="BN63" i="4"/>
  <c r="BK63" i="4"/>
  <c r="AE26" i="4"/>
  <c r="AC26" i="4"/>
  <c r="AA26" i="4"/>
  <c r="Y26" i="4"/>
  <c r="DJ26" i="4" s="1"/>
  <c r="BE71" i="4"/>
  <c r="BF71" i="4"/>
  <c r="BC71" i="4"/>
  <c r="BA71" i="4"/>
  <c r="BB71" i="4"/>
  <c r="BD71" i="4"/>
  <c r="BH71" i="4"/>
  <c r="BI71" i="4"/>
  <c r="BL71" i="4"/>
  <c r="BK71" i="4"/>
  <c r="BJ71" i="4"/>
  <c r="BE56" i="4"/>
  <c r="BA56" i="4"/>
  <c r="BB56" i="4"/>
  <c r="BC56" i="4"/>
  <c r="BD56" i="4"/>
  <c r="BF56" i="4"/>
  <c r="BJ56" i="4"/>
  <c r="BL56" i="4"/>
  <c r="BH56" i="4"/>
  <c r="BK56" i="4"/>
  <c r="BI56" i="4"/>
  <c r="BC58" i="4"/>
  <c r="BD58" i="4"/>
  <c r="BE58" i="4"/>
  <c r="BF58" i="4"/>
  <c r="BA58" i="4"/>
  <c r="BB58" i="4"/>
  <c r="BH58" i="4"/>
  <c r="BI58" i="4"/>
  <c r="BL58" i="4"/>
  <c r="BJ58" i="4"/>
  <c r="BK58" i="4"/>
  <c r="BC70" i="4"/>
  <c r="BD70" i="4"/>
  <c r="BE70" i="4"/>
  <c r="BF70" i="4"/>
  <c r="BB70" i="4"/>
  <c r="BA70" i="4"/>
  <c r="BK70" i="4"/>
  <c r="BH70" i="4"/>
  <c r="BI70" i="4"/>
  <c r="BJ70" i="4"/>
  <c r="BL70" i="4"/>
  <c r="BC66" i="4"/>
  <c r="BD66" i="4"/>
  <c r="BE66" i="4"/>
  <c r="BF66" i="4"/>
  <c r="BA66" i="4"/>
  <c r="BB66" i="4"/>
  <c r="BH66" i="4"/>
  <c r="BI66" i="4"/>
  <c r="BJ66" i="4"/>
  <c r="BL66" i="4"/>
  <c r="BK66" i="4"/>
  <c r="BC54" i="4"/>
  <c r="BA54" i="4"/>
  <c r="BD54" i="4"/>
  <c r="BE54" i="4"/>
  <c r="BF54" i="4"/>
  <c r="BB54" i="4"/>
  <c r="BK54" i="4"/>
  <c r="BN54" i="4"/>
  <c r="BH54" i="4"/>
  <c r="BI54" i="4"/>
  <c r="BJ54" i="4"/>
  <c r="BL54" i="4"/>
  <c r="BE64" i="4"/>
  <c r="BA64" i="4"/>
  <c r="BB64" i="4"/>
  <c r="BC64" i="4"/>
  <c r="BD64" i="4"/>
  <c r="BF64" i="4"/>
  <c r="BJ64" i="4"/>
  <c r="BL64" i="4"/>
  <c r="BK64" i="4"/>
  <c r="BH64" i="4"/>
  <c r="BI64" i="4"/>
  <c r="BA69" i="4"/>
  <c r="BB69" i="4"/>
  <c r="BC69" i="4"/>
  <c r="BD69" i="4"/>
  <c r="BE69" i="4"/>
  <c r="BF69" i="4"/>
  <c r="BI69" i="4"/>
  <c r="BK69" i="4"/>
  <c r="BJ69" i="4"/>
  <c r="BL69" i="4"/>
  <c r="BH69" i="4"/>
  <c r="BA57" i="4"/>
  <c r="BB57" i="4"/>
  <c r="BC57" i="4"/>
  <c r="BD57" i="4"/>
  <c r="BE57" i="4"/>
  <c r="BF57" i="4"/>
  <c r="BI57" i="4"/>
  <c r="BJ57" i="4"/>
  <c r="BK57" i="4"/>
  <c r="BH57" i="4"/>
  <c r="BL57" i="4"/>
  <c r="BA53" i="4"/>
  <c r="BB53" i="4"/>
  <c r="BC53" i="4"/>
  <c r="BD53" i="4"/>
  <c r="BE53" i="4"/>
  <c r="BF53" i="4"/>
  <c r="BI53" i="4"/>
  <c r="BJ53" i="4"/>
  <c r="BL53" i="4"/>
  <c r="BK53" i="4"/>
  <c r="BH53" i="4"/>
  <c r="BA52" i="4"/>
  <c r="BB52" i="4"/>
  <c r="BC52" i="4"/>
  <c r="BE52" i="4"/>
  <c r="BD52" i="4"/>
  <c r="BF52" i="4"/>
  <c r="BH52" i="4"/>
  <c r="BI52" i="4"/>
  <c r="BK52" i="4"/>
  <c r="BJ52" i="4"/>
  <c r="BL52" i="4"/>
  <c r="BC62" i="4"/>
  <c r="BD62" i="4"/>
  <c r="BE62" i="4"/>
  <c r="BF62" i="4"/>
  <c r="BA62" i="4"/>
  <c r="BB62" i="4"/>
  <c r="BK62" i="4"/>
  <c r="BN62" i="4"/>
  <c r="BH62" i="4"/>
  <c r="BI62" i="4"/>
  <c r="BJ62" i="4"/>
  <c r="BL62" i="4"/>
  <c r="BE67" i="4"/>
  <c r="BF67" i="4"/>
  <c r="BA67" i="4"/>
  <c r="BC67" i="4"/>
  <c r="BB67" i="4"/>
  <c r="BD67" i="4"/>
  <c r="BL67" i="4"/>
  <c r="BK67" i="4"/>
  <c r="BI67" i="4"/>
  <c r="BN67" i="4"/>
  <c r="BH67" i="4"/>
  <c r="BJ67" i="4"/>
  <c r="BA61" i="4"/>
  <c r="BB61" i="4"/>
  <c r="BC61" i="4"/>
  <c r="BD61" i="4"/>
  <c r="BE61" i="4"/>
  <c r="BF61" i="4"/>
  <c r="BI61" i="4"/>
  <c r="BK61" i="4"/>
  <c r="BJ61" i="4"/>
  <c r="BL61" i="4"/>
  <c r="BH61" i="4"/>
  <c r="BA68" i="4"/>
  <c r="BE68" i="4"/>
  <c r="BB68" i="4"/>
  <c r="BC68" i="4"/>
  <c r="BD68" i="4"/>
  <c r="BF68" i="4"/>
  <c r="BK68" i="4"/>
  <c r="BH68" i="4"/>
  <c r="BI68" i="4"/>
  <c r="BJ68" i="4"/>
  <c r="BL68" i="4"/>
  <c r="BE59" i="4"/>
  <c r="BF59" i="4"/>
  <c r="BA59" i="4"/>
  <c r="BB59" i="4"/>
  <c r="BD59" i="4"/>
  <c r="BC59" i="4"/>
  <c r="BL59" i="4"/>
  <c r="BI59" i="4"/>
  <c r="BK59" i="4"/>
  <c r="BN59" i="4"/>
  <c r="BH59" i="4"/>
  <c r="BJ59" i="4"/>
  <c r="BA65" i="4"/>
  <c r="BB65" i="4"/>
  <c r="BC65" i="4"/>
  <c r="BD65" i="4"/>
  <c r="BE65" i="4"/>
  <c r="BF65" i="4"/>
  <c r="BH65" i="4"/>
  <c r="BI65" i="4"/>
  <c r="BJ65" i="4"/>
  <c r="BK65" i="4"/>
  <c r="BL65" i="4"/>
  <c r="BA60" i="4"/>
  <c r="BE60" i="4"/>
  <c r="BB60" i="4"/>
  <c r="BC60" i="4"/>
  <c r="BD60" i="4"/>
  <c r="BF60" i="4"/>
  <c r="BH60" i="4"/>
  <c r="BI60" i="4"/>
  <c r="BJ60" i="4"/>
  <c r="BK60" i="4"/>
  <c r="BL60" i="4"/>
  <c r="BE55" i="4"/>
  <c r="BF55" i="4"/>
  <c r="BC55" i="4"/>
  <c r="BA55" i="4"/>
  <c r="BB55" i="4"/>
  <c r="BD55" i="4"/>
  <c r="BH55" i="4"/>
  <c r="BI55" i="4"/>
  <c r="BJ55" i="4"/>
  <c r="BL55" i="4"/>
  <c r="BN55" i="4"/>
  <c r="BK55" i="4"/>
  <c r="CR18" i="4"/>
  <c r="AX21" i="4"/>
  <c r="AY21" i="4" s="1"/>
  <c r="CQ21" i="4"/>
  <c r="BB43" i="4"/>
  <c r="BC43" i="4"/>
  <c r="BD43" i="4"/>
  <c r="BE43" i="4"/>
  <c r="BF43" i="4"/>
  <c r="BA43" i="4"/>
  <c r="BH43" i="4"/>
  <c r="BI43" i="4"/>
  <c r="BL43" i="4"/>
  <c r="BJ43" i="4"/>
  <c r="BK43" i="4"/>
  <c r="BN43" i="4"/>
  <c r="AX23" i="4"/>
  <c r="CQ23" i="4"/>
  <c r="CQ24" i="4"/>
  <c r="AX24" i="4"/>
  <c r="AY24" i="4" s="1"/>
  <c r="BA50" i="4"/>
  <c r="BB50" i="4"/>
  <c r="BC50" i="4"/>
  <c r="BE50" i="4"/>
  <c r="BD50" i="4"/>
  <c r="BF50" i="4"/>
  <c r="BH50" i="4"/>
  <c r="BI50" i="4"/>
  <c r="BN50" i="4"/>
  <c r="BJ50" i="4"/>
  <c r="BL50" i="4"/>
  <c r="BK50" i="4"/>
  <c r="BA46" i="4"/>
  <c r="BB46" i="4"/>
  <c r="BF46" i="4"/>
  <c r="BC46" i="4"/>
  <c r="BE46" i="4"/>
  <c r="BD46" i="4"/>
  <c r="BI46" i="4"/>
  <c r="BJ46" i="4"/>
  <c r="BH46" i="4"/>
  <c r="BL46" i="4"/>
  <c r="BK46" i="4"/>
  <c r="BN46" i="4"/>
  <c r="CQ29" i="4"/>
  <c r="AX29" i="4"/>
  <c r="AX22" i="4"/>
  <c r="AY22" i="4" s="1"/>
  <c r="CQ22" i="4"/>
  <c r="CQ28" i="4"/>
  <c r="AX28" i="4"/>
  <c r="AY28" i="4" s="1"/>
  <c r="CQ31" i="4"/>
  <c r="AX31" i="4"/>
  <c r="BB51" i="4"/>
  <c r="BC51" i="4"/>
  <c r="BD51" i="4"/>
  <c r="BE51" i="4"/>
  <c r="BF51" i="4"/>
  <c r="BA51" i="4"/>
  <c r="BH51" i="4"/>
  <c r="BI51" i="4"/>
  <c r="BJ51" i="4"/>
  <c r="BL51" i="4"/>
  <c r="BK51" i="4"/>
  <c r="BN51" i="4"/>
  <c r="BQ13" i="4" s="1"/>
  <c r="BF45" i="4"/>
  <c r="BA45" i="4"/>
  <c r="BB45" i="4"/>
  <c r="BD45" i="4"/>
  <c r="BE45" i="4"/>
  <c r="BC45" i="4"/>
  <c r="BI45" i="4"/>
  <c r="BH45" i="4"/>
  <c r="BN45" i="4"/>
  <c r="BJ45" i="4"/>
  <c r="BL45" i="4"/>
  <c r="BK45" i="4"/>
  <c r="BF41" i="4"/>
  <c r="BD41" i="4"/>
  <c r="BA41" i="4"/>
  <c r="BB41" i="4"/>
  <c r="BC41" i="4"/>
  <c r="BE41" i="4"/>
  <c r="BH41" i="4"/>
  <c r="CQ33" i="4"/>
  <c r="CR33" i="4" s="1"/>
  <c r="CS33" i="4" s="1"/>
  <c r="AX33" i="4"/>
  <c r="AY33" i="4" s="1"/>
  <c r="CQ27" i="4"/>
  <c r="CR27" i="4" s="1"/>
  <c r="CS27" i="4" s="1"/>
  <c r="AX27" i="4"/>
  <c r="AY27" i="4" s="1"/>
  <c r="BB39" i="4"/>
  <c r="BC39" i="4"/>
  <c r="BD39" i="4"/>
  <c r="BE39" i="4"/>
  <c r="BF39" i="4"/>
  <c r="BA39" i="4"/>
  <c r="BH39" i="4"/>
  <c r="CQ32" i="4"/>
  <c r="CR32" i="4" s="1"/>
  <c r="CS32" i="4" s="1"/>
  <c r="AX32" i="4"/>
  <c r="AY32" i="4" s="1"/>
  <c r="BD36" i="4"/>
  <c r="BE36" i="4"/>
  <c r="BF36" i="4"/>
  <c r="BA36" i="4"/>
  <c r="BB36" i="4"/>
  <c r="BC36" i="4"/>
  <c r="BH36" i="4"/>
  <c r="BD44" i="4"/>
  <c r="BA44" i="4"/>
  <c r="BE44" i="4"/>
  <c r="BF44" i="4"/>
  <c r="BC44" i="4"/>
  <c r="BB44" i="4"/>
  <c r="BL44" i="4"/>
  <c r="BN44" i="4"/>
  <c r="BK44" i="4"/>
  <c r="BJ44" i="4"/>
  <c r="BH44" i="4"/>
  <c r="BI44" i="4"/>
  <c r="BA42" i="4"/>
  <c r="BE42" i="4"/>
  <c r="BB42" i="4"/>
  <c r="BC42" i="4"/>
  <c r="BD42" i="4"/>
  <c r="BF42" i="4"/>
  <c r="BK42" i="4"/>
  <c r="BH42" i="4"/>
  <c r="BI42" i="4"/>
  <c r="BN42" i="4"/>
  <c r="BJ42" i="4"/>
  <c r="BL42" i="4"/>
  <c r="BA38" i="4"/>
  <c r="BB38" i="4"/>
  <c r="BC38" i="4"/>
  <c r="BD38" i="4"/>
  <c r="BE38" i="4"/>
  <c r="BF38" i="4"/>
  <c r="BH38" i="4"/>
  <c r="BD48" i="4"/>
  <c r="BE48" i="4"/>
  <c r="BF48" i="4"/>
  <c r="BA48" i="4"/>
  <c r="BB48" i="4"/>
  <c r="BC48" i="4"/>
  <c r="BN48" i="4"/>
  <c r="BH48" i="4"/>
  <c r="BI48" i="4"/>
  <c r="BJ48" i="4"/>
  <c r="BL48" i="4"/>
  <c r="BK48" i="4"/>
  <c r="AX20" i="4"/>
  <c r="AY20" i="4" s="1"/>
  <c r="CQ20" i="4"/>
  <c r="CQ30" i="4"/>
  <c r="AX30" i="4"/>
  <c r="AY30" i="4" s="1"/>
  <c r="BD40" i="4"/>
  <c r="BE40" i="4"/>
  <c r="BF40" i="4"/>
  <c r="BA40" i="4"/>
  <c r="BB40" i="4"/>
  <c r="BC40" i="4"/>
  <c r="BH40" i="4"/>
  <c r="BF37" i="4"/>
  <c r="BA37" i="4"/>
  <c r="BB37" i="4"/>
  <c r="BC37" i="4"/>
  <c r="BD37" i="4"/>
  <c r="BE37" i="4"/>
  <c r="BH37" i="4"/>
  <c r="BB47" i="4"/>
  <c r="BC47" i="4"/>
  <c r="BD47" i="4"/>
  <c r="BE47" i="4"/>
  <c r="BF47" i="4"/>
  <c r="BA47" i="4"/>
  <c r="BK47" i="4"/>
  <c r="BL47" i="4"/>
  <c r="BH47" i="4"/>
  <c r="BI47" i="4"/>
  <c r="BJ47" i="4"/>
  <c r="BN47" i="4"/>
  <c r="BB35" i="4"/>
  <c r="BC35" i="4"/>
  <c r="BD35" i="4"/>
  <c r="BE35" i="4"/>
  <c r="BF35" i="4"/>
  <c r="BA35" i="4"/>
  <c r="BH35" i="4"/>
  <c r="AX19" i="4"/>
  <c r="AY19" i="4" s="1"/>
  <c r="CQ19" i="4"/>
  <c r="CQ25" i="4"/>
  <c r="AX25" i="4"/>
  <c r="AY25" i="4" s="1"/>
  <c r="BF49" i="4"/>
  <c r="BD49" i="4"/>
  <c r="BA49" i="4"/>
  <c r="BB49" i="4"/>
  <c r="BC49" i="4"/>
  <c r="BE49" i="4"/>
  <c r="BJ49" i="4"/>
  <c r="BL49" i="4"/>
  <c r="BK49" i="4"/>
  <c r="BN49" i="4"/>
  <c r="BI49" i="4"/>
  <c r="BH49" i="4"/>
  <c r="CQ34" i="4"/>
  <c r="CR34" i="4" s="1"/>
  <c r="CS34" i="4" s="1"/>
  <c r="AX34" i="4"/>
  <c r="AY34" i="4" s="1"/>
  <c r="AE34" i="4" s="1"/>
  <c r="DJ34" i="4" s="1"/>
  <c r="CQ35" i="4"/>
  <c r="CR35" i="4" s="1"/>
  <c r="CS35" i="4" s="1"/>
  <c r="AX35" i="4"/>
  <c r="AY35" i="4" s="1"/>
  <c r="CQ36" i="4"/>
  <c r="CR36" i="4" s="1"/>
  <c r="CS36" i="4" s="1"/>
  <c r="AX36" i="4"/>
  <c r="AY36" i="4" s="1"/>
  <c r="AE36" i="4" s="1"/>
  <c r="DJ36" i="4" s="1"/>
  <c r="CQ37" i="4"/>
  <c r="CR37" i="4" s="1"/>
  <c r="CS37" i="4" s="1"/>
  <c r="AX37" i="4"/>
  <c r="CQ38" i="4"/>
  <c r="CR38" i="4" s="1"/>
  <c r="CS38" i="4" s="1"/>
  <c r="AX38" i="4"/>
  <c r="AY38" i="4" s="1"/>
  <c r="AE38" i="4" s="1"/>
  <c r="DJ38" i="4" s="1"/>
  <c r="CQ39" i="4"/>
  <c r="CR39" i="4" s="1"/>
  <c r="CS39" i="4" s="1"/>
  <c r="CQ40" i="4"/>
  <c r="CR40" i="4" s="1"/>
  <c r="CS40" i="4" s="1"/>
  <c r="AX40" i="4"/>
  <c r="AY40" i="4" s="1"/>
  <c r="AE40" i="4" s="1"/>
  <c r="DJ40" i="4" s="1"/>
  <c r="CQ41" i="4"/>
  <c r="CR41" i="4" s="1"/>
  <c r="CS41" i="4" s="1"/>
  <c r="CQ42" i="4"/>
  <c r="CR42" i="4" s="1"/>
  <c r="CS42" i="4" s="1"/>
  <c r="AX42" i="4"/>
  <c r="AY42" i="4" s="1"/>
  <c r="AE42" i="4" s="1"/>
  <c r="DJ42" i="4" s="1"/>
  <c r="CQ43" i="4"/>
  <c r="CR43" i="4" s="1"/>
  <c r="CS43" i="4" s="1"/>
  <c r="AX43" i="4"/>
  <c r="AY43" i="4" s="1"/>
  <c r="CQ44" i="4"/>
  <c r="CR44" i="4" s="1"/>
  <c r="CS44" i="4" s="1"/>
  <c r="AX44" i="4"/>
  <c r="AY44" i="4" s="1"/>
  <c r="AE44" i="4" s="1"/>
  <c r="DJ44" i="4" s="1"/>
  <c r="CQ45" i="4"/>
  <c r="CR45" i="4" s="1"/>
  <c r="CS45" i="4" s="1"/>
  <c r="AX45" i="4"/>
  <c r="AY45" i="4" s="1"/>
  <c r="CQ46" i="4"/>
  <c r="CR46" i="4" s="1"/>
  <c r="CS46" i="4" s="1"/>
  <c r="AX46" i="4"/>
  <c r="AY46" i="4" s="1"/>
  <c r="AE46" i="4" s="1"/>
  <c r="DJ46" i="4" s="1"/>
  <c r="CQ47" i="4"/>
  <c r="CR47" i="4" s="1"/>
  <c r="CS47" i="4" s="1"/>
  <c r="AX47" i="4"/>
  <c r="AY47" i="4" s="1"/>
  <c r="CQ49" i="4"/>
  <c r="CR49" i="4" s="1"/>
  <c r="CS49" i="4" s="1"/>
  <c r="AX49" i="4"/>
  <c r="AY49" i="4" s="1"/>
  <c r="AE49" i="4" s="1"/>
  <c r="CQ52" i="4"/>
  <c r="CR52" i="4" s="1"/>
  <c r="CS52" i="4" s="1"/>
  <c r="AX52" i="4"/>
  <c r="AY52" i="4" s="1"/>
  <c r="BT52" i="4" s="1"/>
  <c r="CQ50" i="4"/>
  <c r="CR50" i="4" s="1"/>
  <c r="CS50" i="4" s="1"/>
  <c r="AX50" i="4"/>
  <c r="AY50" i="4" s="1"/>
  <c r="CQ51" i="4"/>
  <c r="CR51" i="4" s="1"/>
  <c r="CS51" i="4" s="1"/>
  <c r="AX51" i="4"/>
  <c r="AY51" i="4" s="1"/>
  <c r="CQ48" i="4"/>
  <c r="CR48" i="4" s="1"/>
  <c r="CS48" i="4" s="1"/>
  <c r="AX48" i="4"/>
  <c r="AY48" i="4" s="1"/>
  <c r="CQ53" i="4"/>
  <c r="CR53" i="4" s="1"/>
  <c r="CS53" i="4" s="1"/>
  <c r="AX53" i="4"/>
  <c r="AY53" i="4" s="1"/>
  <c r="CQ54" i="4"/>
  <c r="CR54" i="4" s="1"/>
  <c r="AX54" i="4"/>
  <c r="AY54" i="4" s="1"/>
  <c r="BT54" i="4" s="1"/>
  <c r="CQ55" i="4"/>
  <c r="CR55" i="4" s="1"/>
  <c r="CS55" i="4" s="1"/>
  <c r="AX55" i="4"/>
  <c r="AY55" i="4" s="1"/>
  <c r="CQ56" i="4"/>
  <c r="CR56" i="4" s="1"/>
  <c r="CS56" i="4" s="1"/>
  <c r="AX56" i="4"/>
  <c r="AY56" i="4" s="1"/>
  <c r="AE56" i="4" s="1"/>
  <c r="CQ57" i="4"/>
  <c r="CR57" i="4" s="1"/>
  <c r="CS57" i="4" s="1"/>
  <c r="AX57" i="4"/>
  <c r="AY57" i="4" s="1"/>
  <c r="AG57" i="4" s="1"/>
  <c r="CQ58" i="4"/>
  <c r="CR58" i="4" s="1"/>
  <c r="CS58" i="4" s="1"/>
  <c r="AX58" i="4"/>
  <c r="AY58" i="4" s="1"/>
  <c r="AE58" i="4" s="1"/>
  <c r="CQ60" i="4"/>
  <c r="CR60" i="4" s="1"/>
  <c r="CS60" i="4" s="1"/>
  <c r="AX60" i="4"/>
  <c r="AY60" i="4" s="1"/>
  <c r="AE60" i="4" s="1"/>
  <c r="CQ59" i="4"/>
  <c r="CR59" i="4" s="1"/>
  <c r="CS59" i="4" s="1"/>
  <c r="AX59" i="4"/>
  <c r="AY59" i="4" s="1"/>
  <c r="AE59" i="4" s="1"/>
  <c r="CQ61" i="4"/>
  <c r="CR61" i="4" s="1"/>
  <c r="CS61" i="4" s="1"/>
  <c r="AX61" i="4"/>
  <c r="AY61" i="4" s="1"/>
  <c r="AE61" i="4" s="1"/>
  <c r="CQ63" i="4"/>
  <c r="CR63" i="4" s="1"/>
  <c r="AX63" i="4"/>
  <c r="AY63" i="4" s="1"/>
  <c r="AE63" i="4" s="1"/>
  <c r="CQ64" i="4"/>
  <c r="CR64" i="4" s="1"/>
  <c r="CS64" i="4" s="1"/>
  <c r="AX64" i="4"/>
  <c r="AY64" i="4" s="1"/>
  <c r="AE64" i="4" s="1"/>
  <c r="CQ62" i="4"/>
  <c r="CR62" i="4" s="1"/>
  <c r="CS62" i="4" s="1"/>
  <c r="AX62" i="4"/>
  <c r="AY62" i="4" s="1"/>
  <c r="AE62" i="4" s="1"/>
  <c r="CQ66" i="4"/>
  <c r="CR66" i="4" s="1"/>
  <c r="CS66" i="4" s="1"/>
  <c r="AX66" i="4"/>
  <c r="AY66" i="4" s="1"/>
  <c r="BT66" i="4" s="1"/>
  <c r="CQ67" i="4"/>
  <c r="CR67" i="4" s="1"/>
  <c r="AX67" i="4"/>
  <c r="AY67" i="4" s="1"/>
  <c r="BT67" i="4" s="1"/>
  <c r="CQ65" i="4"/>
  <c r="CR65" i="4" s="1"/>
  <c r="CS65" i="4" s="1"/>
  <c r="AX65" i="4"/>
  <c r="AY65" i="4" s="1"/>
  <c r="AE65" i="4" s="1"/>
  <c r="CQ68" i="4"/>
  <c r="CR68" i="4" s="1"/>
  <c r="AX68" i="4"/>
  <c r="AY68" i="4" s="1"/>
  <c r="CQ69" i="4"/>
  <c r="CR69" i="4" s="1"/>
  <c r="AX69" i="4"/>
  <c r="AY69" i="4" s="1"/>
  <c r="CQ70" i="4"/>
  <c r="CR70" i="4" s="1"/>
  <c r="CS70" i="4" s="1"/>
  <c r="AX70" i="4"/>
  <c r="AY70" i="4" s="1"/>
  <c r="CQ71" i="4"/>
  <c r="CR71" i="4" s="1"/>
  <c r="AX71" i="4"/>
  <c r="AY71" i="4" s="1"/>
  <c r="BT71" i="4" s="1"/>
  <c r="AX16" i="4"/>
  <c r="AY16" i="4" s="1"/>
  <c r="CQ16" i="4"/>
  <c r="CR16" i="4" s="1"/>
  <c r="CS16" i="4" s="1"/>
  <c r="BK13" i="4"/>
  <c r="AB11" i="4"/>
  <c r="BY13" i="4"/>
  <c r="BG76" i="4"/>
  <c r="N18" i="3" s="1"/>
  <c r="M82" i="3" s="1"/>
  <c r="O82" i="3" s="1"/>
  <c r="BG74" i="4"/>
  <c r="F18" i="3" s="1"/>
  <c r="AX18" i="4"/>
  <c r="AY18" i="4" s="1"/>
  <c r="AX17" i="4"/>
  <c r="AY17" i="4" s="1"/>
  <c r="BC17" i="4"/>
  <c r="BF17" i="4"/>
  <c r="BI17" i="4"/>
  <c r="BT26" i="4"/>
  <c r="AG26" i="4"/>
  <c r="BN18" i="4"/>
  <c r="BQ40" i="4" s="1"/>
  <c r="BJ18" i="4"/>
  <c r="BA20" i="4"/>
  <c r="BH20" i="4"/>
  <c r="BQ43" i="4"/>
  <c r="BQ35" i="4"/>
  <c r="B18" i="4"/>
  <c r="B19" i="4" s="1"/>
  <c r="CS67" i="4" l="1"/>
  <c r="CT67" i="4" s="1"/>
  <c r="CU67" i="4" s="1"/>
  <c r="AN67" i="4"/>
  <c r="CS68" i="4"/>
  <c r="CT68" i="4" s="1"/>
  <c r="CU68" i="4" s="1"/>
  <c r="AN68" i="4"/>
  <c r="AA58" i="4"/>
  <c r="AC58" i="4"/>
  <c r="AA60" i="4"/>
  <c r="AC60" i="4"/>
  <c r="AA59" i="4"/>
  <c r="AC59" i="4"/>
  <c r="AA61" i="4"/>
  <c r="AC61" i="4"/>
  <c r="AA63" i="4"/>
  <c r="AC63" i="4"/>
  <c r="AA64" i="4"/>
  <c r="AC64" i="4"/>
  <c r="AA62" i="4"/>
  <c r="AC62" i="4"/>
  <c r="AA65" i="4"/>
  <c r="AC65" i="4"/>
  <c r="AA56" i="4"/>
  <c r="AC56" i="4"/>
  <c r="Y55" i="4"/>
  <c r="AA55" i="4"/>
  <c r="BT58" i="4"/>
  <c r="Y58" i="4"/>
  <c r="DJ58" i="4" s="1"/>
  <c r="BT59" i="4"/>
  <c r="Y59" i="4"/>
  <c r="DJ59" i="4" s="1"/>
  <c r="BT65" i="4"/>
  <c r="Y65" i="4"/>
  <c r="DJ65" i="4" s="1"/>
  <c r="BT56" i="4"/>
  <c r="Y56" i="4"/>
  <c r="Y32" i="4"/>
  <c r="AE32" i="4"/>
  <c r="BT50" i="4"/>
  <c r="CA50" i="4" s="1"/>
  <c r="CB50" i="4" s="1"/>
  <c r="AE50" i="4"/>
  <c r="DJ50" i="4" s="1"/>
  <c r="BT48" i="4"/>
  <c r="CA48" i="4" s="1"/>
  <c r="CB48" i="4" s="1"/>
  <c r="AE48" i="4"/>
  <c r="DJ48" i="4" s="1"/>
  <c r="DA13" i="4"/>
  <c r="DB13" i="4" s="1"/>
  <c r="BT61" i="4"/>
  <c r="Y61" i="4"/>
  <c r="BT62" i="4"/>
  <c r="Y62" i="4"/>
  <c r="BT60" i="4"/>
  <c r="Y60" i="4"/>
  <c r="DJ60" i="4" s="1"/>
  <c r="BT63" i="4"/>
  <c r="Y63" i="4"/>
  <c r="DJ63" i="4" s="1"/>
  <c r="BT64" i="4"/>
  <c r="Y64" i="4"/>
  <c r="DJ64" i="4" s="1"/>
  <c r="BT70" i="4"/>
  <c r="BU70" i="4" s="1"/>
  <c r="BV70" i="4" s="1"/>
  <c r="Y70" i="4"/>
  <c r="BT69" i="4"/>
  <c r="BU69" i="4" s="1"/>
  <c r="BV69" i="4" s="1"/>
  <c r="Y69" i="4"/>
  <c r="BT68" i="4"/>
  <c r="BU68" i="4" s="1"/>
  <c r="BV68" i="4" s="1"/>
  <c r="Y68" i="4"/>
  <c r="BT53" i="4"/>
  <c r="AE53" i="4"/>
  <c r="AA53" i="4"/>
  <c r="AC53" i="4"/>
  <c r="Y53" i="4"/>
  <c r="DJ53" i="4" s="1"/>
  <c r="AK53" i="4"/>
  <c r="AE45" i="4"/>
  <c r="AA45" i="4"/>
  <c r="AG45" i="4"/>
  <c r="AC45" i="4"/>
  <c r="Y45" i="4"/>
  <c r="DJ45" i="4" s="1"/>
  <c r="AK31" i="4"/>
  <c r="AY31" i="4"/>
  <c r="BT49" i="4"/>
  <c r="CA49" i="4" s="1"/>
  <c r="CB49" i="4" s="1"/>
  <c r="AG49" i="4"/>
  <c r="AC49" i="4"/>
  <c r="AA49" i="4"/>
  <c r="AK49" i="4"/>
  <c r="AY29" i="4"/>
  <c r="AK29" i="4" s="1"/>
  <c r="BT55" i="4"/>
  <c r="AC55" i="4"/>
  <c r="AE55" i="4"/>
  <c r="BT51" i="4"/>
  <c r="AA51" i="4"/>
  <c r="Y51" i="4"/>
  <c r="AC51" i="4"/>
  <c r="AE51" i="4"/>
  <c r="AE47" i="4"/>
  <c r="AA47" i="4"/>
  <c r="Y47" i="4"/>
  <c r="DJ47" i="4" s="1"/>
  <c r="AG47" i="4"/>
  <c r="AA43" i="4"/>
  <c r="AG43" i="4"/>
  <c r="AC43" i="4"/>
  <c r="AE43" i="4"/>
  <c r="AY23" i="4"/>
  <c r="AC57" i="4"/>
  <c r="AE57" i="4"/>
  <c r="BT57" i="4"/>
  <c r="CC57" i="4" s="1"/>
  <c r="CD57" i="4" s="1"/>
  <c r="AA57" i="4"/>
  <c r="Y57" i="4"/>
  <c r="DJ57" i="4" s="1"/>
  <c r="CJ15" i="4"/>
  <c r="CK15" i="4" s="1"/>
  <c r="CJ21" i="4"/>
  <c r="CK21" i="4" s="1"/>
  <c r="BT46" i="4"/>
  <c r="CA46" i="4" s="1"/>
  <c r="CB46" i="4" s="1"/>
  <c r="BT42" i="4"/>
  <c r="CA42" i="4" s="1"/>
  <c r="CB42" i="4" s="1"/>
  <c r="BT38" i="4"/>
  <c r="CA38" i="4" s="1"/>
  <c r="CB38" i="4" s="1"/>
  <c r="BT34" i="4"/>
  <c r="CA34" i="4" s="1"/>
  <c r="CB34" i="4" s="1"/>
  <c r="CJ13" i="4"/>
  <c r="CK13" i="4" s="1"/>
  <c r="BT32" i="4"/>
  <c r="CJ14" i="4"/>
  <c r="CK14" i="4" s="1"/>
  <c r="BT45" i="4"/>
  <c r="Y41" i="4"/>
  <c r="DJ41" i="4" s="1"/>
  <c r="AY37" i="4"/>
  <c r="BT37" i="4" s="1"/>
  <c r="CJ24" i="4"/>
  <c r="CK24" i="4" s="1"/>
  <c r="AK27" i="4"/>
  <c r="CJ20" i="4"/>
  <c r="CK20" i="4" s="1"/>
  <c r="BT44" i="4"/>
  <c r="CA44" i="4" s="1"/>
  <c r="CB44" i="4" s="1"/>
  <c r="BT40" i="4"/>
  <c r="CA40" i="4" s="1"/>
  <c r="CB40" i="4" s="1"/>
  <c r="BT36" i="4"/>
  <c r="CA36" i="4" s="1"/>
  <c r="CB36" i="4" s="1"/>
  <c r="BT47" i="4"/>
  <c r="Y43" i="4"/>
  <c r="BT39" i="4"/>
  <c r="Y39" i="4"/>
  <c r="DJ39" i="4" s="1"/>
  <c r="CJ22" i="4"/>
  <c r="CK22" i="4" s="1"/>
  <c r="AK25" i="4"/>
  <c r="CJ17" i="4"/>
  <c r="CK17" i="4" s="1"/>
  <c r="CJ19" i="4"/>
  <c r="CK19" i="4" s="1"/>
  <c r="CJ26" i="4"/>
  <c r="CK26" i="4" s="1"/>
  <c r="BB78" i="4"/>
  <c r="K12" i="3" s="1"/>
  <c r="BZ13" i="4"/>
  <c r="BH76" i="4"/>
  <c r="H20" i="3" s="1"/>
  <c r="BH84" i="4"/>
  <c r="T20" i="3" s="1"/>
  <c r="BH92" i="4"/>
  <c r="N21" i="3" s="1"/>
  <c r="BJ116" i="4"/>
  <c r="N28" i="3" s="1"/>
  <c r="BH108" i="4"/>
  <c r="T22" i="3" s="1"/>
  <c r="BJ118" i="4"/>
  <c r="Q28" i="3" s="1"/>
  <c r="BI108" i="4"/>
  <c r="T25" i="3" s="1"/>
  <c r="BQ49" i="4"/>
  <c r="BQ67" i="4"/>
  <c r="BJ94" i="4"/>
  <c r="Q27" i="3" s="1"/>
  <c r="Y23" i="4"/>
  <c r="AG23" i="4"/>
  <c r="AE23" i="4"/>
  <c r="AC23" i="4"/>
  <c r="CR23" i="4"/>
  <c r="DA18" i="4"/>
  <c r="DB18" i="4" s="1"/>
  <c r="BH98" i="4"/>
  <c r="F22" i="3" s="1"/>
  <c r="BH74" i="4"/>
  <c r="F20" i="3" s="1"/>
  <c r="BH102" i="4"/>
  <c r="K22" i="3" s="1"/>
  <c r="AG27" i="4"/>
  <c r="Y27" i="4"/>
  <c r="AE27" i="4"/>
  <c r="AC27" i="4"/>
  <c r="AA27" i="4"/>
  <c r="BQ55" i="4"/>
  <c r="BQ20" i="4"/>
  <c r="BQ42" i="4"/>
  <c r="BQ17" i="4"/>
  <c r="BQ18" i="4"/>
  <c r="CC26" i="4"/>
  <c r="CD26" i="4" s="1"/>
  <c r="BY26" i="4"/>
  <c r="BZ26" i="4" s="1"/>
  <c r="CA26" i="4"/>
  <c r="CB26" i="4" s="1"/>
  <c r="BU26" i="4"/>
  <c r="BV26" i="4" s="1"/>
  <c r="BW26" i="4"/>
  <c r="BX26" i="4" s="1"/>
  <c r="CS63" i="4"/>
  <c r="CT63" i="4" s="1"/>
  <c r="CU63" i="4" s="1"/>
  <c r="AN63" i="4"/>
  <c r="CS54" i="4"/>
  <c r="CT54" i="4" s="1"/>
  <c r="CU54" i="4" s="1"/>
  <c r="AN54" i="4"/>
  <c r="BQ63" i="4"/>
  <c r="CR22" i="4"/>
  <c r="DA17" i="4"/>
  <c r="BQ48" i="4"/>
  <c r="BH120" i="4"/>
  <c r="T23" i="3" s="1"/>
  <c r="BQ52" i="4"/>
  <c r="BQ15" i="4"/>
  <c r="BQ72" i="4"/>
  <c r="BQ60" i="4"/>
  <c r="BQ59" i="4"/>
  <c r="BI102" i="4"/>
  <c r="K25" i="3" s="1"/>
  <c r="BH114" i="4"/>
  <c r="K23" i="3" s="1"/>
  <c r="BQ33" i="4"/>
  <c r="BH82" i="4"/>
  <c r="Q20" i="3" s="1"/>
  <c r="BH90" i="4"/>
  <c r="K21" i="3" s="1"/>
  <c r="BH86" i="4"/>
  <c r="F21" i="3" s="1"/>
  <c r="BH80" i="4"/>
  <c r="N20" i="3" s="1"/>
  <c r="BH118" i="4"/>
  <c r="Q23" i="3" s="1"/>
  <c r="BQ21" i="4"/>
  <c r="BQ69" i="4"/>
  <c r="BQ16" i="4"/>
  <c r="BQ30" i="4"/>
  <c r="BQ56" i="4"/>
  <c r="CS69" i="4"/>
  <c r="CT69" i="4" s="1"/>
  <c r="CU69" i="4" s="1"/>
  <c r="AN69" i="4"/>
  <c r="BT30" i="4"/>
  <c r="Y30" i="4"/>
  <c r="AA30" i="4"/>
  <c r="AG30" i="4"/>
  <c r="AE30" i="4"/>
  <c r="AC30" i="4"/>
  <c r="Y29" i="4"/>
  <c r="AG29" i="4"/>
  <c r="AE29" i="4"/>
  <c r="AC29" i="4"/>
  <c r="AA29" i="4"/>
  <c r="AC22" i="4"/>
  <c r="AG22" i="4"/>
  <c r="AE22" i="4"/>
  <c r="AA22" i="4"/>
  <c r="BH106" i="4"/>
  <c r="Q22" i="3" s="1"/>
  <c r="BQ66" i="4"/>
  <c r="BB80" i="4"/>
  <c r="N12" i="3" s="1"/>
  <c r="BH112" i="4"/>
  <c r="H23" i="3" s="1"/>
  <c r="BH88" i="4"/>
  <c r="H21" i="3" s="1"/>
  <c r="BB76" i="4"/>
  <c r="H12" i="3" s="1"/>
  <c r="BH96" i="4"/>
  <c r="T21" i="3" s="1"/>
  <c r="BH78" i="4"/>
  <c r="K20" i="3" s="1"/>
  <c r="BI116" i="4"/>
  <c r="N26" i="3" s="1"/>
  <c r="BJ92" i="4"/>
  <c r="N27" i="3" s="1"/>
  <c r="BQ44" i="4"/>
  <c r="BR43" i="4" s="1"/>
  <c r="BQ23" i="4"/>
  <c r="BQ64" i="4"/>
  <c r="BQ22" i="4"/>
  <c r="CR30" i="4"/>
  <c r="DA23" i="4"/>
  <c r="CR29" i="4"/>
  <c r="DA22" i="4"/>
  <c r="DB22" i="4" s="1"/>
  <c r="CS71" i="4"/>
  <c r="CT71" i="4" s="1"/>
  <c r="CU71" i="4" s="1"/>
  <c r="AN71" i="4"/>
  <c r="AA24" i="4"/>
  <c r="Y24" i="4"/>
  <c r="AG24" i="4"/>
  <c r="AE24" i="4"/>
  <c r="BQ71" i="4"/>
  <c r="CR28" i="4"/>
  <c r="DA21" i="4"/>
  <c r="BH110" i="4"/>
  <c r="F23" i="3" s="1"/>
  <c r="BH104" i="4"/>
  <c r="N22" i="3" s="1"/>
  <c r="BB84" i="4"/>
  <c r="T12" i="3" s="1"/>
  <c r="BH94" i="4"/>
  <c r="Q21" i="3" s="1"/>
  <c r="BJ120" i="4"/>
  <c r="T28" i="3" s="1"/>
  <c r="BJ114" i="4"/>
  <c r="K28" i="3" s="1"/>
  <c r="BH100" i="4"/>
  <c r="H22" i="3" s="1"/>
  <c r="BT28" i="4"/>
  <c r="BQ26" i="4"/>
  <c r="BQ62" i="4"/>
  <c r="BQ29" i="4"/>
  <c r="BQ58" i="4"/>
  <c r="AE17" i="4"/>
  <c r="CJ16" i="4"/>
  <c r="CK16" i="4" s="1"/>
  <c r="AG31" i="4"/>
  <c r="CJ25" i="4"/>
  <c r="CR21" i="4"/>
  <c r="DA15" i="4"/>
  <c r="DB15" i="4" s="1"/>
  <c r="CR25" i="4"/>
  <c r="DA19" i="4"/>
  <c r="BQ32" i="4"/>
  <c r="BB82" i="4"/>
  <c r="Q12" i="3" s="1"/>
  <c r="BH116" i="4"/>
  <c r="N23" i="3" s="1"/>
  <c r="AC25" i="4"/>
  <c r="AA25" i="4"/>
  <c r="Y25" i="4"/>
  <c r="AG25" i="4"/>
  <c r="BQ31" i="4"/>
  <c r="BQ27" i="4"/>
  <c r="BQ39" i="4"/>
  <c r="BR39" i="4" s="1"/>
  <c r="CR31" i="4"/>
  <c r="DA24" i="4"/>
  <c r="DB24" i="4" s="1"/>
  <c r="CR24" i="4"/>
  <c r="DA20" i="4"/>
  <c r="DB20" i="4" s="1"/>
  <c r="CR20" i="4"/>
  <c r="DA16" i="4"/>
  <c r="AE19" i="4"/>
  <c r="CJ23" i="4"/>
  <c r="AA18" i="4"/>
  <c r="CJ18" i="4"/>
  <c r="CR19" i="4"/>
  <c r="DA14" i="4"/>
  <c r="DB14" i="4" s="1"/>
  <c r="CS18" i="4"/>
  <c r="CT18" i="4" s="1"/>
  <c r="AN18" i="4"/>
  <c r="AA31" i="4"/>
  <c r="BQ50" i="4"/>
  <c r="BB74" i="4"/>
  <c r="F12" i="3" s="1"/>
  <c r="BQ45" i="4"/>
  <c r="BQ47" i="4"/>
  <c r="BJ96" i="4"/>
  <c r="T27" i="3" s="1"/>
  <c r="BQ54" i="4"/>
  <c r="BQ37" i="4"/>
  <c r="BQ57" i="4"/>
  <c r="BE82" i="4"/>
  <c r="Q15" i="3" s="1"/>
  <c r="BE78" i="4"/>
  <c r="K15" i="3" s="1"/>
  <c r="BE74" i="4"/>
  <c r="F15" i="3" s="1"/>
  <c r="BE76" i="4"/>
  <c r="H15" i="3" s="1"/>
  <c r="BE84" i="4"/>
  <c r="T15" i="3" s="1"/>
  <c r="BE80" i="4"/>
  <c r="N15" i="3" s="1"/>
  <c r="BD76" i="4"/>
  <c r="H14" i="3" s="1"/>
  <c r="BD74" i="4"/>
  <c r="F14" i="3" s="1"/>
  <c r="BD82" i="4"/>
  <c r="Q14" i="3" s="1"/>
  <c r="BD80" i="4"/>
  <c r="N14" i="3" s="1"/>
  <c r="BD84" i="4"/>
  <c r="T14" i="3" s="1"/>
  <c r="BD78" i="4"/>
  <c r="K14" i="3" s="1"/>
  <c r="AC24" i="4"/>
  <c r="BT27" i="4"/>
  <c r="CN27" i="4" s="1"/>
  <c r="CO27" i="4" s="1"/>
  <c r="BI114" i="4"/>
  <c r="K26" i="3" s="1"/>
  <c r="BI120" i="4"/>
  <c r="T26" i="3" s="1"/>
  <c r="BK88" i="4"/>
  <c r="H29" i="3" s="1"/>
  <c r="BK100" i="4"/>
  <c r="H30" i="3" s="1"/>
  <c r="BK112" i="4"/>
  <c r="H31" i="3" s="1"/>
  <c r="BK102" i="4"/>
  <c r="K30" i="3" s="1"/>
  <c r="BK90" i="4"/>
  <c r="K29" i="3" s="1"/>
  <c r="BK116" i="4"/>
  <c r="N31" i="3" s="1"/>
  <c r="BK114" i="4"/>
  <c r="K31" i="3" s="1"/>
  <c r="BK106" i="4"/>
  <c r="Q30" i="3" s="1"/>
  <c r="BK96" i="4"/>
  <c r="T29" i="3" s="1"/>
  <c r="BK94" i="4"/>
  <c r="Q29" i="3" s="1"/>
  <c r="BK120" i="4"/>
  <c r="T31" i="3" s="1"/>
  <c r="BK108" i="4"/>
  <c r="T30" i="3" s="1"/>
  <c r="BK104" i="4"/>
  <c r="N30" i="3" s="1"/>
  <c r="BK92" i="4"/>
  <c r="N29" i="3" s="1"/>
  <c r="BK118" i="4"/>
  <c r="Q31" i="3" s="1"/>
  <c r="AA18" i="3"/>
  <c r="AC19" i="3" s="1"/>
  <c r="M81" i="3"/>
  <c r="O81" i="3" s="1"/>
  <c r="BL13" i="4"/>
  <c r="DH73" i="4"/>
  <c r="DF74" i="4" s="1"/>
  <c r="DS13" i="4"/>
  <c r="DS11" i="4" s="1"/>
  <c r="U11" i="4"/>
  <c r="Y16" i="4"/>
  <c r="AA16" i="4"/>
  <c r="AG16" i="4"/>
  <c r="AE16" i="4"/>
  <c r="AC16" i="4"/>
  <c r="BQ19" i="4"/>
  <c r="BQ24" i="4"/>
  <c r="AG20" i="4"/>
  <c r="AE20" i="4"/>
  <c r="AC20" i="4"/>
  <c r="AA20" i="4"/>
  <c r="Y17" i="4"/>
  <c r="AA17" i="4"/>
  <c r="BQ68" i="4"/>
  <c r="AG21" i="4"/>
  <c r="AE21" i="4"/>
  <c r="AC21" i="4"/>
  <c r="AA21" i="4"/>
  <c r="BT21" i="4"/>
  <c r="Y21" i="4"/>
  <c r="BT20" i="4"/>
  <c r="Y20" i="4"/>
  <c r="BQ36" i="4"/>
  <c r="BR35" i="4" s="1"/>
  <c r="BQ65" i="4"/>
  <c r="BQ70" i="4"/>
  <c r="BQ41" i="4"/>
  <c r="BQ53" i="4"/>
  <c r="BI94" i="4"/>
  <c r="Q24" i="3" s="1"/>
  <c r="BI118" i="4"/>
  <c r="Q26" i="3" s="1"/>
  <c r="BI90" i="4"/>
  <c r="K24" i="3" s="1"/>
  <c r="BI104" i="4"/>
  <c r="N25" i="3" s="1"/>
  <c r="BI106" i="4"/>
  <c r="Q25" i="3" s="1"/>
  <c r="BI92" i="4"/>
  <c r="N24" i="3" s="1"/>
  <c r="BI96" i="4"/>
  <c r="T24" i="3" s="1"/>
  <c r="BQ25" i="4"/>
  <c r="BQ46" i="4"/>
  <c r="BQ51" i="4"/>
  <c r="BJ90" i="4"/>
  <c r="K27" i="3" s="1"/>
  <c r="BQ34" i="4"/>
  <c r="BQ61" i="4"/>
  <c r="BQ28" i="4"/>
  <c r="BQ14" i="4"/>
  <c r="BQ38" i="4"/>
  <c r="BJ112" i="4"/>
  <c r="H28" i="3" s="1"/>
  <c r="BJ88" i="4"/>
  <c r="H27" i="3" s="1"/>
  <c r="BA82" i="4"/>
  <c r="Q11" i="3" s="1"/>
  <c r="BA74" i="4"/>
  <c r="F11" i="3" s="1"/>
  <c r="BA84" i="4"/>
  <c r="T11" i="3" s="1"/>
  <c r="BA78" i="4"/>
  <c r="K11" i="3" s="1"/>
  <c r="BA76" i="4"/>
  <c r="H11" i="3" s="1"/>
  <c r="BA80" i="4"/>
  <c r="N11" i="3" s="1"/>
  <c r="AA23" i="4"/>
  <c r="BI112" i="4"/>
  <c r="H26" i="3" s="1"/>
  <c r="BI100" i="4"/>
  <c r="H25" i="3" s="1"/>
  <c r="BI88" i="4"/>
  <c r="H24" i="3" s="1"/>
  <c r="AC18" i="4"/>
  <c r="Y18" i="4"/>
  <c r="AE18" i="4"/>
  <c r="BF76" i="4"/>
  <c r="H16" i="3" s="1"/>
  <c r="BF78" i="4"/>
  <c r="K16" i="3" s="1"/>
  <c r="BF80" i="4"/>
  <c r="N16" i="3" s="1"/>
  <c r="BF82" i="4"/>
  <c r="Q16" i="3" s="1"/>
  <c r="BF74" i="4"/>
  <c r="F16" i="3" s="1"/>
  <c r="BF84" i="4"/>
  <c r="T16" i="3" s="1"/>
  <c r="BT22" i="4"/>
  <c r="Y22" i="4"/>
  <c r="BC74" i="4"/>
  <c r="F13" i="3" s="1"/>
  <c r="BC80" i="4"/>
  <c r="N13" i="3" s="1"/>
  <c r="BC78" i="4"/>
  <c r="K13" i="3" s="1"/>
  <c r="BC76" i="4"/>
  <c r="H13" i="3" s="1"/>
  <c r="BC82" i="4"/>
  <c r="Q13" i="3" s="1"/>
  <c r="BC84" i="4"/>
  <c r="T13" i="3" s="1"/>
  <c r="BT25" i="4"/>
  <c r="CN25" i="4" s="1"/>
  <c r="CO25" i="4" s="1"/>
  <c r="AE25" i="4"/>
  <c r="BW30" i="4"/>
  <c r="BX30" i="4" s="1"/>
  <c r="BT24" i="4"/>
  <c r="DT71" i="4"/>
  <c r="DV71" i="4" s="1"/>
  <c r="DT44" i="4"/>
  <c r="DV44" i="4" s="1"/>
  <c r="DT34" i="4"/>
  <c r="DV34" i="4" s="1"/>
  <c r="DT40" i="4"/>
  <c r="DV40" i="4" s="1"/>
  <c r="DT46" i="4"/>
  <c r="DV46" i="4" s="1"/>
  <c r="DT67" i="4"/>
  <c r="DV67" i="4" s="1"/>
  <c r="DT66" i="4"/>
  <c r="DV66" i="4" s="1"/>
  <c r="DT36" i="4"/>
  <c r="DV36" i="4" s="1"/>
  <c r="AK16" i="4"/>
  <c r="BT16" i="4"/>
  <c r="BY16" i="4" s="1"/>
  <c r="B20" i="4"/>
  <c r="B21" i="4" s="1"/>
  <c r="DJ21" i="4" l="1"/>
  <c r="DJ20" i="4"/>
  <c r="BY58" i="4"/>
  <c r="BZ58" i="4" s="1"/>
  <c r="CA58" i="4"/>
  <c r="CB58" i="4" s="1"/>
  <c r="BY59" i="4"/>
  <c r="BZ59" i="4" s="1"/>
  <c r="CA59" i="4"/>
  <c r="CB59" i="4" s="1"/>
  <c r="BY65" i="4"/>
  <c r="BZ65" i="4" s="1"/>
  <c r="CA65" i="4"/>
  <c r="CB65" i="4" s="1"/>
  <c r="BY61" i="4"/>
  <c r="BZ61" i="4" s="1"/>
  <c r="CA61" i="4"/>
  <c r="CB61" i="4" s="1"/>
  <c r="BY62" i="4"/>
  <c r="BZ62" i="4" s="1"/>
  <c r="CA62" i="4"/>
  <c r="CB62" i="4" s="1"/>
  <c r="BY60" i="4"/>
  <c r="BZ60" i="4" s="1"/>
  <c r="CA60" i="4"/>
  <c r="CB60" i="4" s="1"/>
  <c r="BY63" i="4"/>
  <c r="BZ63" i="4" s="1"/>
  <c r="CA63" i="4"/>
  <c r="CB63" i="4" s="1"/>
  <c r="BY64" i="4"/>
  <c r="BZ64" i="4" s="1"/>
  <c r="CA64" i="4"/>
  <c r="CB64" i="4" s="1"/>
  <c r="DJ56" i="4"/>
  <c r="DO56" i="4" s="1" a="1"/>
  <c r="DO56" i="4" s="1"/>
  <c r="H56" i="4" s="1"/>
  <c r="BY56" i="4"/>
  <c r="BZ56" i="4" s="1"/>
  <c r="CA56" i="4"/>
  <c r="CB56" i="4" s="1"/>
  <c r="DJ61" i="4"/>
  <c r="DO61" i="4" s="1" a="1"/>
  <c r="DO61" i="4" s="1"/>
  <c r="H61" i="4" s="1"/>
  <c r="DJ62" i="4"/>
  <c r="DO62" i="4" s="1" a="1"/>
  <c r="DO62" i="4" s="1"/>
  <c r="H62" i="4" s="1"/>
  <c r="BU58" i="4"/>
  <c r="BV58" i="4" s="1"/>
  <c r="BW58" i="4"/>
  <c r="BX58" i="4" s="1"/>
  <c r="BU59" i="4"/>
  <c r="BV59" i="4" s="1"/>
  <c r="BW59" i="4"/>
  <c r="BX59" i="4" s="1"/>
  <c r="BU65" i="4"/>
  <c r="BV65" i="4" s="1"/>
  <c r="BW65" i="4"/>
  <c r="BX65" i="4" s="1"/>
  <c r="BU61" i="4"/>
  <c r="BV61" i="4" s="1"/>
  <c r="BW61" i="4"/>
  <c r="BX61" i="4" s="1"/>
  <c r="BU62" i="4"/>
  <c r="BV62" i="4" s="1"/>
  <c r="BW62" i="4"/>
  <c r="BX62" i="4" s="1"/>
  <c r="BU60" i="4"/>
  <c r="BV60" i="4" s="1"/>
  <c r="BW60" i="4"/>
  <c r="BX60" i="4" s="1"/>
  <c r="BU63" i="4"/>
  <c r="BV63" i="4" s="1"/>
  <c r="BW63" i="4"/>
  <c r="BX63" i="4" s="1"/>
  <c r="BU64" i="4"/>
  <c r="BV64" i="4" s="1"/>
  <c r="BW64" i="4"/>
  <c r="BX64" i="4" s="1"/>
  <c r="BU56" i="4"/>
  <c r="BV56" i="4" s="1"/>
  <c r="BW56" i="4"/>
  <c r="BX56" i="4" s="1"/>
  <c r="BU55" i="4"/>
  <c r="BV55" i="4" s="1"/>
  <c r="BW55" i="4"/>
  <c r="BX55" i="4" s="1"/>
  <c r="DJ25" i="4"/>
  <c r="DJ49" i="4"/>
  <c r="DJ29" i="4"/>
  <c r="DO29" i="4" s="1" a="1"/>
  <c r="DO29" i="4" s="1"/>
  <c r="H29" i="4" s="1"/>
  <c r="DJ32" i="4"/>
  <c r="DO32" i="4" s="1" a="1"/>
  <c r="DO32" i="4" s="1"/>
  <c r="H32" i="4" s="1"/>
  <c r="DJ43" i="4"/>
  <c r="DO43" i="4" s="1" a="1"/>
  <c r="DO43" i="4" s="1"/>
  <c r="H43" i="4" s="1"/>
  <c r="DJ24" i="4"/>
  <c r="DJ55" i="4"/>
  <c r="DO55" i="4" s="1" a="1"/>
  <c r="DO55" i="4" s="1"/>
  <c r="H55" i="4" s="1"/>
  <c r="DJ51" i="4"/>
  <c r="DO51" i="4" s="1" a="1"/>
  <c r="DO51" i="4" s="1"/>
  <c r="H51" i="4" s="1"/>
  <c r="DJ23" i="4"/>
  <c r="DJ27" i="4"/>
  <c r="DJ30" i="4"/>
  <c r="DO30" i="4" s="1" a="1"/>
  <c r="DO30" i="4" s="1"/>
  <c r="H30" i="4" s="1"/>
  <c r="DJ16" i="4"/>
  <c r="DJ22" i="4"/>
  <c r="DJ18" i="4"/>
  <c r="DT70" i="4"/>
  <c r="DV70" i="4" s="1"/>
  <c r="DJ70" i="4"/>
  <c r="DO70" i="4" s="1" a="1"/>
  <c r="DO70" i="4" s="1"/>
  <c r="H70" i="4" s="1"/>
  <c r="DT69" i="4"/>
  <c r="DV69" i="4" s="1"/>
  <c r="DJ69" i="4"/>
  <c r="DO69" i="4" s="1" a="1"/>
  <c r="DO69" i="4" s="1"/>
  <c r="H69" i="4" s="1"/>
  <c r="DT68" i="4"/>
  <c r="DV68" i="4" s="1"/>
  <c r="DJ68" i="4"/>
  <c r="DO68" i="4" s="1" a="1"/>
  <c r="DO68" i="4" s="1"/>
  <c r="H68" i="4" s="1"/>
  <c r="AK23" i="4"/>
  <c r="BT23" i="4"/>
  <c r="CN23" i="4" s="1"/>
  <c r="CO23" i="4" s="1"/>
  <c r="BU39" i="4"/>
  <c r="BV39" i="4" s="1"/>
  <c r="CA39" i="4"/>
  <c r="CB39" i="4" s="1"/>
  <c r="BU32" i="4"/>
  <c r="BV32" i="4" s="1"/>
  <c r="CA32" i="4"/>
  <c r="CB32" i="4" s="1"/>
  <c r="BR67" i="4"/>
  <c r="BT29" i="4"/>
  <c r="CN29" i="4" s="1"/>
  <c r="CO29" i="4" s="1"/>
  <c r="DO45" i="4" a="1"/>
  <c r="DO45" i="4" s="1"/>
  <c r="H45" i="4" s="1"/>
  <c r="DT51" i="4"/>
  <c r="DT45" i="4"/>
  <c r="BY51" i="4"/>
  <c r="BZ51" i="4" s="1"/>
  <c r="BW51" i="4"/>
  <c r="BX51" i="4" s="1"/>
  <c r="BU51" i="4"/>
  <c r="BV51" i="4" s="1"/>
  <c r="CA51" i="4"/>
  <c r="CB51" i="4" s="1"/>
  <c r="CA47" i="4"/>
  <c r="CB47" i="4" s="1"/>
  <c r="BU47" i="4"/>
  <c r="BV47" i="4" s="1"/>
  <c r="CC47" i="4"/>
  <c r="CD47" i="4" s="1"/>
  <c r="BW47" i="4"/>
  <c r="BX47" i="4" s="1"/>
  <c r="BY49" i="4"/>
  <c r="BZ49" i="4" s="1"/>
  <c r="CC49" i="4"/>
  <c r="CD49" i="4" s="1"/>
  <c r="CN49" i="4"/>
  <c r="CO49" i="4" s="1"/>
  <c r="BW49" i="4"/>
  <c r="BX49" i="4" s="1"/>
  <c r="BY45" i="4"/>
  <c r="BZ45" i="4" s="1"/>
  <c r="CC45" i="4"/>
  <c r="CD45" i="4" s="1"/>
  <c r="BW45" i="4"/>
  <c r="BX45" i="4" s="1"/>
  <c r="BU45" i="4"/>
  <c r="BV45" i="4" s="1"/>
  <c r="CA45" i="4"/>
  <c r="CB45" i="4" s="1"/>
  <c r="BY55" i="4"/>
  <c r="BZ55" i="4" s="1"/>
  <c r="CA55" i="4"/>
  <c r="CB55" i="4" s="1"/>
  <c r="BY53" i="4"/>
  <c r="BZ53" i="4" s="1"/>
  <c r="CN53" i="4"/>
  <c r="CO53" i="4" s="1"/>
  <c r="BW53" i="4"/>
  <c r="BX53" i="4" s="1"/>
  <c r="BU53" i="4"/>
  <c r="BV53" i="4" s="1"/>
  <c r="CA53" i="4"/>
  <c r="CB53" i="4" s="1"/>
  <c r="BY57" i="4"/>
  <c r="BZ57" i="4" s="1"/>
  <c r="CA57" i="4"/>
  <c r="CB57" i="4" s="1"/>
  <c r="BW57" i="4"/>
  <c r="BU57" i="4"/>
  <c r="BV57" i="4" s="1"/>
  <c r="CL15" i="4"/>
  <c r="CM15" i="4" s="1"/>
  <c r="CF37" i="4" s="1"/>
  <c r="AI37" i="4" s="1"/>
  <c r="CN37" i="4"/>
  <c r="CO37" i="4" s="1"/>
  <c r="BW37" i="4"/>
  <c r="BX37" i="4" s="1"/>
  <c r="CC37" i="4"/>
  <c r="CD37" i="4" s="1"/>
  <c r="CA37" i="4"/>
  <c r="CB37" i="4" s="1"/>
  <c r="BY37" i="4"/>
  <c r="BZ37" i="4" s="1"/>
  <c r="BU37" i="4"/>
  <c r="BV37" i="4" s="1"/>
  <c r="CL19" i="4"/>
  <c r="CM19" i="4" s="1"/>
  <c r="CF42" i="4" s="1"/>
  <c r="AI42" i="4" s="1"/>
  <c r="DT42" i="4" s="1"/>
  <c r="DV42" i="4" s="1"/>
  <c r="CL21" i="4"/>
  <c r="CM21" i="4" s="1"/>
  <c r="AE37" i="4"/>
  <c r="Y37" i="4"/>
  <c r="AG37" i="4"/>
  <c r="AC37" i="4"/>
  <c r="AA37" i="4"/>
  <c r="AK37" i="4"/>
  <c r="BT43" i="4"/>
  <c r="BT41" i="4"/>
  <c r="AC35" i="4"/>
  <c r="AA35" i="4"/>
  <c r="AG35" i="4"/>
  <c r="AE35" i="4"/>
  <c r="Y35" i="4"/>
  <c r="AK35" i="4"/>
  <c r="AG33" i="4"/>
  <c r="AE33" i="4"/>
  <c r="AC33" i="4"/>
  <c r="Y33" i="4"/>
  <c r="AA33" i="4"/>
  <c r="AK33" i="4"/>
  <c r="BT35" i="4"/>
  <c r="BT33" i="4"/>
  <c r="BR51" i="4"/>
  <c r="BR17" i="4"/>
  <c r="BR59" i="4"/>
  <c r="BR15" i="4"/>
  <c r="BR33" i="4"/>
  <c r="BR41" i="4"/>
  <c r="BR63" i="4"/>
  <c r="BR23" i="4"/>
  <c r="BR25" i="4"/>
  <c r="BR31" i="4"/>
  <c r="BR47" i="4"/>
  <c r="BR21" i="4"/>
  <c r="BR55" i="4"/>
  <c r="BR19" i="4"/>
  <c r="BR69" i="4"/>
  <c r="AA23" i="3"/>
  <c r="D95" i="3" s="1"/>
  <c r="F95" i="3" s="1"/>
  <c r="BR13" i="4"/>
  <c r="BR27" i="4"/>
  <c r="AA20" i="3"/>
  <c r="D92" i="3" s="1"/>
  <c r="F92" i="3" s="1"/>
  <c r="BR71" i="4"/>
  <c r="AA22" i="3"/>
  <c r="D94" i="3" s="1"/>
  <c r="F94" i="3" s="1"/>
  <c r="BT31" i="4"/>
  <c r="CN31" i="4" s="1"/>
  <c r="CO31" i="4" s="1"/>
  <c r="DT30" i="4"/>
  <c r="BT18" i="4"/>
  <c r="BW18" i="4" s="1"/>
  <c r="BX18" i="4" s="1"/>
  <c r="BR57" i="4"/>
  <c r="AA21" i="3"/>
  <c r="D93" i="3" s="1"/>
  <c r="F93" i="3" s="1"/>
  <c r="AA12" i="3"/>
  <c r="D83" i="3" s="1"/>
  <c r="F83" i="3" s="1"/>
  <c r="BT17" i="4"/>
  <c r="BU17" i="4" s="1"/>
  <c r="BR49" i="4"/>
  <c r="AG17" i="4"/>
  <c r="AC17" i="4"/>
  <c r="DJ17" i="4" s="1"/>
  <c r="AG18" i="4"/>
  <c r="AC19" i="4"/>
  <c r="AC31" i="4"/>
  <c r="AA19" i="4"/>
  <c r="BR29" i="4"/>
  <c r="BR61" i="4"/>
  <c r="AA28" i="3"/>
  <c r="M93" i="3" s="1"/>
  <c r="O93" i="3" s="1"/>
  <c r="BY28" i="4"/>
  <c r="BZ28" i="4" s="1"/>
  <c r="CA28" i="4"/>
  <c r="CB28" i="4" s="1"/>
  <c r="BW28" i="4"/>
  <c r="BX28" i="4" s="1"/>
  <c r="BU28" i="4"/>
  <c r="BV28" i="4" s="1"/>
  <c r="CC28" i="4"/>
  <c r="CD28" i="4" s="1"/>
  <c r="CS28" i="4"/>
  <c r="CT28" i="4" s="1"/>
  <c r="CU28" i="4" s="1"/>
  <c r="AN28" i="4"/>
  <c r="DB17" i="4"/>
  <c r="DC17" i="4"/>
  <c r="DD17" i="4" s="1"/>
  <c r="AE31" i="4"/>
  <c r="DB19" i="4"/>
  <c r="DC19" i="4"/>
  <c r="DD19" i="4" s="1"/>
  <c r="CS29" i="4"/>
  <c r="CT29" i="4" s="1"/>
  <c r="CU29" i="4" s="1"/>
  <c r="AN29" i="4"/>
  <c r="BY30" i="4"/>
  <c r="BZ30" i="4" s="1"/>
  <c r="CC30" i="4"/>
  <c r="CD30" i="4" s="1"/>
  <c r="CA30" i="4"/>
  <c r="CB30" i="4" s="1"/>
  <c r="BU30" i="4"/>
  <c r="BV30" i="4" s="1"/>
  <c r="CS22" i="4"/>
  <c r="CT22" i="4" s="1"/>
  <c r="CU22" i="4" s="1"/>
  <c r="AN22" i="4"/>
  <c r="BY27" i="4"/>
  <c r="BZ27" i="4" s="1"/>
  <c r="CC27" i="4"/>
  <c r="CD27" i="4" s="1"/>
  <c r="CA27" i="4"/>
  <c r="CB27" i="4" s="1"/>
  <c r="BW27" i="4"/>
  <c r="BX27" i="4" s="1"/>
  <c r="BU27" i="4"/>
  <c r="BV27" i="4" s="1"/>
  <c r="BT19" i="4"/>
  <c r="BY19" i="4" s="1"/>
  <c r="BZ19" i="4" s="1"/>
  <c r="Y31" i="4"/>
  <c r="CS25" i="4"/>
  <c r="CT25" i="4" s="1"/>
  <c r="CU25" i="4" s="1"/>
  <c r="AN25" i="4"/>
  <c r="DC23" i="4"/>
  <c r="DD23" i="4" s="1"/>
  <c r="DB23" i="4"/>
  <c r="BY24" i="4"/>
  <c r="BZ24" i="4" s="1"/>
  <c r="CC24" i="4"/>
  <c r="CD24" i="4" s="1"/>
  <c r="BU24" i="4"/>
  <c r="BV24" i="4" s="1"/>
  <c r="CA24" i="4"/>
  <c r="CB24" i="4" s="1"/>
  <c r="BR65" i="4"/>
  <c r="CS30" i="4"/>
  <c r="CT30" i="4" s="1"/>
  <c r="CU30" i="4" s="1"/>
  <c r="AN30" i="4"/>
  <c r="BY29" i="4"/>
  <c r="BZ29" i="4" s="1"/>
  <c r="CC29" i="4"/>
  <c r="CD29" i="4" s="1"/>
  <c r="CA29" i="4"/>
  <c r="CB29" i="4" s="1"/>
  <c r="BW29" i="4"/>
  <c r="BX29" i="4" s="1"/>
  <c r="BU29" i="4"/>
  <c r="BV29" i="4" s="1"/>
  <c r="CS23" i="4"/>
  <c r="CT23" i="4" s="1"/>
  <c r="CU23" i="4" s="1"/>
  <c r="AN23" i="4"/>
  <c r="CS24" i="4"/>
  <c r="CT24" i="4" s="1"/>
  <c r="CU24" i="4" s="1"/>
  <c r="AN24" i="4"/>
  <c r="CS21" i="4"/>
  <c r="CT21" i="4" s="1"/>
  <c r="CU21" i="4" s="1"/>
  <c r="AN21" i="4"/>
  <c r="CF24" i="4"/>
  <c r="AI24" i="4" s="1"/>
  <c r="DT24" i="4" s="1"/>
  <c r="CA25" i="4"/>
  <c r="CB25" i="4" s="1"/>
  <c r="BY25" i="4"/>
  <c r="BZ25" i="4" s="1"/>
  <c r="CC25" i="4"/>
  <c r="CD25" i="4" s="1"/>
  <c r="BW25" i="4"/>
  <c r="BX25" i="4" s="1"/>
  <c r="BU25" i="4"/>
  <c r="BV25" i="4" s="1"/>
  <c r="BU22" i="4"/>
  <c r="BV22" i="4" s="1"/>
  <c r="BY22" i="4"/>
  <c r="BZ22" i="4" s="1"/>
  <c r="CC22" i="4"/>
  <c r="CD22" i="4" s="1"/>
  <c r="CA22" i="4"/>
  <c r="CB22" i="4" s="1"/>
  <c r="BW22" i="4"/>
  <c r="BX22" i="4" s="1"/>
  <c r="BW23" i="4"/>
  <c r="BX23" i="4" s="1"/>
  <c r="BY23" i="4"/>
  <c r="BZ23" i="4" s="1"/>
  <c r="CC23" i="4"/>
  <c r="CD23" i="4" s="1"/>
  <c r="BU23" i="4"/>
  <c r="BV23" i="4" s="1"/>
  <c r="CA23" i="4"/>
  <c r="CB23" i="4" s="1"/>
  <c r="CS31" i="4"/>
  <c r="CT31" i="4" s="1"/>
  <c r="CU31" i="4" s="1"/>
  <c r="AN31" i="4"/>
  <c r="CK25" i="4"/>
  <c r="CL25" i="4"/>
  <c r="CM25" i="4" s="1"/>
  <c r="AG28" i="4"/>
  <c r="AE28" i="4"/>
  <c r="AC28" i="4"/>
  <c r="AA28" i="4"/>
  <c r="Y28" i="4"/>
  <c r="DJ28" i="4" s="1"/>
  <c r="DC21" i="4"/>
  <c r="DD21" i="4" s="1"/>
  <c r="DB21" i="4"/>
  <c r="AG19" i="4"/>
  <c r="Y19" i="4"/>
  <c r="BR53" i="4"/>
  <c r="DB16" i="4"/>
  <c r="DC15" i="4" s="1"/>
  <c r="DD15" i="4" s="1"/>
  <c r="CW69" i="4" s="1"/>
  <c r="AP69" i="4" s="1"/>
  <c r="CS20" i="4"/>
  <c r="CT20" i="4" s="1"/>
  <c r="CU20" i="4" s="1"/>
  <c r="AN20" i="4"/>
  <c r="CS19" i="4"/>
  <c r="CT19" i="4" s="1"/>
  <c r="CU19" i="4" s="1"/>
  <c r="AN19" i="4"/>
  <c r="DC13" i="4"/>
  <c r="CK18" i="4"/>
  <c r="CL17" i="4" s="1"/>
  <c r="CM17" i="4" s="1"/>
  <c r="CF38" i="4" s="1"/>
  <c r="AI38" i="4" s="1"/>
  <c r="DT38" i="4" s="1"/>
  <c r="DV38" i="4" s="1"/>
  <c r="CK23" i="4"/>
  <c r="CL23" i="4" s="1"/>
  <c r="CM23" i="4" s="1"/>
  <c r="CU18" i="4"/>
  <c r="BU31" i="4"/>
  <c r="BV31" i="4" s="1"/>
  <c r="BR45" i="4"/>
  <c r="BR37" i="4"/>
  <c r="AA14" i="3"/>
  <c r="D85" i="3" s="1"/>
  <c r="F85" i="3" s="1"/>
  <c r="B22" i="4"/>
  <c r="B23" i="4" s="1"/>
  <c r="DO26" i="4" a="1"/>
  <c r="DO26" i="4" s="1"/>
  <c r="H26" i="4" s="1"/>
  <c r="AA15" i="3"/>
  <c r="D108" i="3" s="1"/>
  <c r="F108" i="3" s="1"/>
  <c r="DO34" i="4" a="1"/>
  <c r="DO34" i="4" s="1"/>
  <c r="H34" i="4" s="1"/>
  <c r="DO36" i="4" a="1"/>
  <c r="DO36" i="4" s="1"/>
  <c r="H36" i="4" s="1"/>
  <c r="DO38" i="4" a="1"/>
  <c r="DO38" i="4" s="1"/>
  <c r="H38" i="4" s="1"/>
  <c r="DO39" i="4" a="1"/>
  <c r="DO39" i="4" s="1"/>
  <c r="H39" i="4" s="1"/>
  <c r="DO40" i="4" a="1"/>
  <c r="DO40" i="4" s="1"/>
  <c r="H40" i="4" s="1"/>
  <c r="DO41" i="4" a="1"/>
  <c r="DO41" i="4" s="1"/>
  <c r="H41" i="4" s="1"/>
  <c r="DO42" i="4" a="1"/>
  <c r="DO42" i="4" s="1"/>
  <c r="H42" i="4" s="1"/>
  <c r="DO44" i="4" a="1"/>
  <c r="DO44" i="4" s="1"/>
  <c r="H44" i="4" s="1"/>
  <c r="DO46" i="4" a="1"/>
  <c r="DO46" i="4" s="1"/>
  <c r="H46" i="4" s="1"/>
  <c r="DO47" i="4" a="1"/>
  <c r="DO47" i="4" s="1"/>
  <c r="H47" i="4" s="1"/>
  <c r="DO52" i="4" a="1"/>
  <c r="DO52" i="4" s="1"/>
  <c r="H52" i="4" s="1"/>
  <c r="DO49" i="4" a="1"/>
  <c r="DO49" i="4" s="1"/>
  <c r="H49" i="4" s="1"/>
  <c r="DO50" i="4" a="1"/>
  <c r="DO50" i="4" s="1"/>
  <c r="H50" i="4" s="1"/>
  <c r="DO48" i="4" a="1"/>
  <c r="DO48" i="4" s="1"/>
  <c r="H48" i="4" s="1"/>
  <c r="DO53" i="4" a="1"/>
  <c r="DO53" i="4" s="1"/>
  <c r="H53" i="4" s="1"/>
  <c r="DO54" i="4" a="1"/>
  <c r="DO54" i="4" s="1"/>
  <c r="H54" i="4" s="1"/>
  <c r="DO57" i="4" a="1"/>
  <c r="DO57" i="4" s="1"/>
  <c r="H57" i="4" s="1"/>
  <c r="DO58" i="4" a="1"/>
  <c r="DO58" i="4" s="1"/>
  <c r="H58" i="4" s="1"/>
  <c r="DO60" i="4" a="1"/>
  <c r="DO60" i="4" s="1"/>
  <c r="H60" i="4" s="1"/>
  <c r="DO59" i="4" a="1"/>
  <c r="DO59" i="4" s="1"/>
  <c r="H59" i="4" s="1"/>
  <c r="DO63" i="4" a="1"/>
  <c r="DO63" i="4" s="1"/>
  <c r="H63" i="4" s="1"/>
  <c r="DO64" i="4" a="1"/>
  <c r="DO64" i="4" s="1"/>
  <c r="H64" i="4" s="1"/>
  <c r="DO67" i="4" a="1"/>
  <c r="DO67" i="4" s="1"/>
  <c r="H67" i="4" s="1"/>
  <c r="DO66" i="4" a="1"/>
  <c r="DO66" i="4" s="1"/>
  <c r="H66" i="4" s="1"/>
  <c r="DO65" i="4" a="1"/>
  <c r="DO65" i="4" s="1"/>
  <c r="H65" i="4" s="1"/>
  <c r="DO71" i="4" a="1"/>
  <c r="DO71" i="4" s="1"/>
  <c r="H71" i="4" s="1"/>
  <c r="AA31" i="3"/>
  <c r="M99" i="3" s="1"/>
  <c r="O99" i="3" s="1"/>
  <c r="AA30" i="3"/>
  <c r="M98" i="3" s="1"/>
  <c r="O98" i="3" s="1"/>
  <c r="AA29" i="3"/>
  <c r="M97" i="3" s="1"/>
  <c r="O97" i="3" s="1"/>
  <c r="BL100" i="4"/>
  <c r="H33" i="3" s="1"/>
  <c r="BL88" i="4"/>
  <c r="H32" i="3" s="1"/>
  <c r="BL112" i="4"/>
  <c r="H34" i="3" s="1"/>
  <c r="BL104" i="4"/>
  <c r="N33" i="3" s="1"/>
  <c r="BL118" i="4"/>
  <c r="Q34" i="3" s="1"/>
  <c r="BL102" i="4"/>
  <c r="K33" i="3" s="1"/>
  <c r="BL108" i="4"/>
  <c r="T33" i="3" s="1"/>
  <c r="BL116" i="4"/>
  <c r="N34" i="3" s="1"/>
  <c r="BL92" i="4"/>
  <c r="N32" i="3" s="1"/>
  <c r="BL114" i="4"/>
  <c r="K34" i="3" s="1"/>
  <c r="BL106" i="4"/>
  <c r="Q33" i="3" s="1"/>
  <c r="BL96" i="4"/>
  <c r="T32" i="3" s="1"/>
  <c r="BL90" i="4"/>
  <c r="K32" i="3" s="1"/>
  <c r="BL94" i="4"/>
  <c r="Q32" i="3" s="1"/>
  <c r="BL120" i="4"/>
  <c r="T34" i="3" s="1"/>
  <c r="AF11" i="4"/>
  <c r="CC13" i="4"/>
  <c r="CD13" i="4" s="1"/>
  <c r="BU19" i="4"/>
  <c r="CA19" i="4"/>
  <c r="CB19" i="4" s="1"/>
  <c r="CC19" i="4"/>
  <c r="CD19" i="4" s="1"/>
  <c r="BW19" i="4"/>
  <c r="BX19" i="4" s="1"/>
  <c r="BU20" i="4"/>
  <c r="BY20" i="4"/>
  <c r="BZ20" i="4" s="1"/>
  <c r="BW20" i="4"/>
  <c r="BX20" i="4" s="1"/>
  <c r="CA20" i="4"/>
  <c r="CB20" i="4" s="1"/>
  <c r="CC20" i="4"/>
  <c r="CD20" i="4" s="1"/>
  <c r="BU21" i="4"/>
  <c r="BY21" i="4"/>
  <c r="BZ21" i="4" s="1"/>
  <c r="CC21" i="4"/>
  <c r="CD21" i="4" s="1"/>
  <c r="CA21" i="4"/>
  <c r="CB21" i="4" s="1"/>
  <c r="BW21" i="4"/>
  <c r="BX21" i="4" s="1"/>
  <c r="AA26" i="3"/>
  <c r="D99" i="3" s="1"/>
  <c r="F99" i="3" s="1"/>
  <c r="AA25" i="3"/>
  <c r="D98" i="3" s="1"/>
  <c r="F98" i="3" s="1"/>
  <c r="AA24" i="3"/>
  <c r="D97" i="3" s="1"/>
  <c r="F97" i="3" s="1"/>
  <c r="AA27" i="3"/>
  <c r="M92" i="3" s="1"/>
  <c r="O92" i="3" s="1"/>
  <c r="BY18" i="4"/>
  <c r="BZ18" i="4" s="1"/>
  <c r="CC18" i="4"/>
  <c r="CD18" i="4" s="1"/>
  <c r="CA18" i="4"/>
  <c r="CB18" i="4" s="1"/>
  <c r="BU18" i="4"/>
  <c r="AA11" i="3"/>
  <c r="AA16" i="3"/>
  <c r="D109" i="3" s="1"/>
  <c r="F109" i="3" s="1"/>
  <c r="AA13" i="3"/>
  <c r="D84" i="3" s="1"/>
  <c r="F84" i="3" s="1"/>
  <c r="BW24" i="4"/>
  <c r="BX24" i="4" s="1"/>
  <c r="CC16" i="4"/>
  <c r="CD16" i="4" s="1"/>
  <c r="BU16" i="4"/>
  <c r="BW16" i="4"/>
  <c r="CL13" i="4"/>
  <c r="CN16" i="4"/>
  <c r="CA16" i="4"/>
  <c r="CF64" i="4" l="1"/>
  <c r="AI64" i="4" s="1"/>
  <c r="DT64" i="4" s="1"/>
  <c r="DV64" i="4" s="1"/>
  <c r="DJ35" i="4"/>
  <c r="DO35" i="4" s="1" a="1"/>
  <c r="DO35" i="4" s="1"/>
  <c r="H35" i="4" s="1"/>
  <c r="DJ33" i="4"/>
  <c r="DO33" i="4" s="1" a="1"/>
  <c r="DO33" i="4" s="1"/>
  <c r="H33" i="4" s="1"/>
  <c r="DJ19" i="4"/>
  <c r="DO19" i="4" s="1" a="1"/>
  <c r="DO19" i="4" s="1"/>
  <c r="H19" i="4" s="1"/>
  <c r="DJ31" i="4"/>
  <c r="DO31" i="4" s="1" a="1"/>
  <c r="DO31" i="4" s="1"/>
  <c r="H31" i="4" s="1"/>
  <c r="DJ37" i="4"/>
  <c r="DO37" i="4" s="1" a="1"/>
  <c r="DO37" i="4" s="1"/>
  <c r="H37" i="4" s="1"/>
  <c r="CF60" i="4"/>
  <c r="AI60" i="4" s="1"/>
  <c r="DT60" i="4" s="1"/>
  <c r="DV60" i="4" s="1"/>
  <c r="CF50" i="4"/>
  <c r="AI50" i="4" s="1"/>
  <c r="DT50" i="4" s="1"/>
  <c r="DV50" i="4" s="1"/>
  <c r="CM18" i="4"/>
  <c r="CF39" i="4" s="1"/>
  <c r="AI39" i="4" s="1"/>
  <c r="DT39" i="4" s="1"/>
  <c r="DV39" i="4" s="1"/>
  <c r="CM16" i="4"/>
  <c r="CF54" i="4"/>
  <c r="AI54" i="4" s="1"/>
  <c r="DT54" i="4" s="1"/>
  <c r="DV54" i="4" s="1"/>
  <c r="BR100" i="4"/>
  <c r="H36" i="3" s="1"/>
  <c r="DV45" i="4"/>
  <c r="DV51" i="4"/>
  <c r="BU41" i="4"/>
  <c r="BV41" i="4" s="1"/>
  <c r="BY41" i="4"/>
  <c r="BZ41" i="4" s="1"/>
  <c r="BW41" i="4"/>
  <c r="BX41" i="4" s="1"/>
  <c r="CA41" i="4"/>
  <c r="CB41" i="4" s="1"/>
  <c r="CC41" i="4"/>
  <c r="CD41" i="4" s="1"/>
  <c r="BU43" i="4"/>
  <c r="BV43" i="4" s="1"/>
  <c r="BY43" i="4"/>
  <c r="BZ43" i="4" s="1"/>
  <c r="BW43" i="4"/>
  <c r="BX43" i="4" s="1"/>
  <c r="CC43" i="4"/>
  <c r="CD43" i="4" s="1"/>
  <c r="CA43" i="4"/>
  <c r="CB43" i="4" s="1"/>
  <c r="BX57" i="4"/>
  <c r="CM24" i="4"/>
  <c r="CF49" i="4"/>
  <c r="AI49" i="4" s="1"/>
  <c r="DT49" i="4" s="1"/>
  <c r="DV49" i="4" s="1"/>
  <c r="CF27" i="4"/>
  <c r="AI27" i="4" s="1"/>
  <c r="DT27" i="4" s="1"/>
  <c r="DV27" i="4" s="1"/>
  <c r="CM22" i="4"/>
  <c r="CF41" i="4"/>
  <c r="AI41" i="4" s="1"/>
  <c r="DT41" i="4" s="1"/>
  <c r="DV41" i="4" s="1"/>
  <c r="CM20" i="4"/>
  <c r="CF62" i="4" s="1"/>
  <c r="AI62" i="4" s="1"/>
  <c r="DT62" i="4" s="1"/>
  <c r="DV62" i="4" s="1"/>
  <c r="BU33" i="4"/>
  <c r="BV33" i="4" s="1"/>
  <c r="BY33" i="4"/>
  <c r="BZ33" i="4" s="1"/>
  <c r="CN33" i="4"/>
  <c r="CO33" i="4" s="1"/>
  <c r="CC33" i="4"/>
  <c r="CD33" i="4" s="1"/>
  <c r="CA33" i="4"/>
  <c r="CB33" i="4" s="1"/>
  <c r="BW33" i="4"/>
  <c r="BX33" i="4" s="1"/>
  <c r="BY35" i="4"/>
  <c r="BZ35" i="4" s="1"/>
  <c r="CN35" i="4"/>
  <c r="CO35" i="4" s="1"/>
  <c r="CC35" i="4"/>
  <c r="CD35" i="4" s="1"/>
  <c r="CA35" i="4"/>
  <c r="CB35" i="4" s="1"/>
  <c r="BW35" i="4"/>
  <c r="BX35" i="4" s="1"/>
  <c r="BU35" i="4"/>
  <c r="BV35" i="4" s="1"/>
  <c r="DT37" i="4"/>
  <c r="DV37" i="4" s="1"/>
  <c r="BW17" i="4"/>
  <c r="BX17" i="4" s="1"/>
  <c r="BW31" i="4"/>
  <c r="BX31" i="4" s="1"/>
  <c r="CA31" i="4"/>
  <c r="CB31" i="4" s="1"/>
  <c r="CC31" i="4"/>
  <c r="CD31" i="4" s="1"/>
  <c r="BY31" i="4"/>
  <c r="BZ31" i="4" s="1"/>
  <c r="CC17" i="4"/>
  <c r="CD17" i="4" s="1"/>
  <c r="BY17" i="4"/>
  <c r="CA17" i="4"/>
  <c r="CB17" i="4" s="1"/>
  <c r="CF22" i="4"/>
  <c r="AI22" i="4" s="1"/>
  <c r="DT22" i="4" s="1"/>
  <c r="DV22" i="4" s="1"/>
  <c r="CL74" i="4"/>
  <c r="H50" i="3" s="1"/>
  <c r="DO28" i="4" a="1"/>
  <c r="DO28" i="4" s="1"/>
  <c r="H28" i="4" s="1"/>
  <c r="DV30" i="4"/>
  <c r="CM26" i="4"/>
  <c r="CF65" i="4" s="1"/>
  <c r="AI65" i="4" s="1"/>
  <c r="DT65" i="4" s="1"/>
  <c r="DV65" i="4" s="1"/>
  <c r="CF31" i="4"/>
  <c r="AI31" i="4" s="1"/>
  <c r="DT31" i="4" s="1"/>
  <c r="DV31" i="4" s="1"/>
  <c r="DD22" i="4"/>
  <c r="CW29" i="4" s="1"/>
  <c r="AP29" i="4" s="1"/>
  <c r="CW28" i="4"/>
  <c r="AP28" i="4" s="1"/>
  <c r="DD24" i="4"/>
  <c r="CW31" i="4" s="1"/>
  <c r="AP31" i="4" s="1"/>
  <c r="CW30" i="4"/>
  <c r="AP30" i="4" s="1"/>
  <c r="DD20" i="4"/>
  <c r="CW24" i="4" s="1"/>
  <c r="AP24" i="4" s="1"/>
  <c r="CW25" i="4"/>
  <c r="AP25" i="4" s="1"/>
  <c r="DD18" i="4"/>
  <c r="CW23" i="4" s="1"/>
  <c r="AP23" i="4" s="1"/>
  <c r="CW22" i="4"/>
  <c r="AP22" i="4" s="1"/>
  <c r="CU77" i="4"/>
  <c r="N57" i="3" s="1"/>
  <c r="CU76" i="4"/>
  <c r="BR90" i="4"/>
  <c r="K35" i="3" s="1"/>
  <c r="CU75" i="4"/>
  <c r="T56" i="3" s="1"/>
  <c r="DD16" i="4"/>
  <c r="CW21" i="4"/>
  <c r="AP21" i="4" s="1"/>
  <c r="CU73" i="4"/>
  <c r="CU78" i="4"/>
  <c r="T57" i="3" s="1"/>
  <c r="BR112" i="4"/>
  <c r="H37" i="3" s="1"/>
  <c r="BR114" i="4"/>
  <c r="K37" i="3" s="1"/>
  <c r="CU74" i="4"/>
  <c r="N56" i="3" s="1"/>
  <c r="DC74" i="4"/>
  <c r="N58" i="3" s="1"/>
  <c r="DC75" i="4"/>
  <c r="T58" i="3" s="1"/>
  <c r="DD13" i="4"/>
  <c r="DV24" i="4"/>
  <c r="BR116" i="4"/>
  <c r="N37" i="3" s="1"/>
  <c r="BR108" i="4"/>
  <c r="T36" i="3" s="1"/>
  <c r="BR88" i="4"/>
  <c r="H35" i="3" s="1"/>
  <c r="BR94" i="4"/>
  <c r="Q35" i="3" s="1"/>
  <c r="BR106" i="4"/>
  <c r="Q36" i="3" s="1"/>
  <c r="BR92" i="4"/>
  <c r="N35" i="3" s="1"/>
  <c r="BR102" i="4"/>
  <c r="K36" i="3" s="1"/>
  <c r="BR118" i="4"/>
  <c r="Q37" i="3" s="1"/>
  <c r="BR96" i="4"/>
  <c r="T35" i="3" s="1"/>
  <c r="BR104" i="4"/>
  <c r="N36" i="3" s="1"/>
  <c r="BR120" i="4"/>
  <c r="T37" i="3" s="1"/>
  <c r="DO23" i="4" a="1"/>
  <c r="DO23" i="4" s="1"/>
  <c r="H23" i="4" s="1"/>
  <c r="DO20" i="4" a="1"/>
  <c r="DO20" i="4" s="1"/>
  <c r="H20" i="4" s="1"/>
  <c r="DO27" i="4" a="1"/>
  <c r="DO27" i="4" s="1"/>
  <c r="H27" i="4" s="1"/>
  <c r="DO24" i="4" a="1"/>
  <c r="DO24" i="4" s="1"/>
  <c r="H24" i="4" s="1"/>
  <c r="DO25" i="4" a="1"/>
  <c r="DO25" i="4" s="1"/>
  <c r="H25" i="4" s="1"/>
  <c r="DO22" i="4" a="1"/>
  <c r="DO22" i="4" s="1"/>
  <c r="H22" i="4" s="1"/>
  <c r="DO21" i="4" a="1"/>
  <c r="DO21" i="4" s="1"/>
  <c r="H21" i="4" s="1"/>
  <c r="DO17" i="4" a="1"/>
  <c r="DO17" i="4" s="1"/>
  <c r="H17" i="4" s="1"/>
  <c r="DO18" i="4" a="1"/>
  <c r="DO18" i="4" s="1"/>
  <c r="H18" i="4" s="1"/>
  <c r="DO16" i="4" a="1"/>
  <c r="DO16" i="4" s="1"/>
  <c r="H16" i="4" s="1"/>
  <c r="CM13" i="4"/>
  <c r="CF32" i="4" s="1"/>
  <c r="AI32" i="4" s="1"/>
  <c r="DT32" i="4" s="1"/>
  <c r="DV32" i="4" s="1"/>
  <c r="BV20" i="4"/>
  <c r="BV21" i="4"/>
  <c r="BV17" i="4"/>
  <c r="BV18" i="4"/>
  <c r="BV19" i="4"/>
  <c r="AA34" i="3"/>
  <c r="V94" i="3" s="1"/>
  <c r="X94" i="3" s="1"/>
  <c r="AA32" i="3"/>
  <c r="V92" i="3" s="1"/>
  <c r="X92" i="3" s="1"/>
  <c r="AA33" i="3"/>
  <c r="V93" i="3" s="1"/>
  <c r="X93" i="3" s="1"/>
  <c r="Z11" i="4"/>
  <c r="AS12" i="4" s="1"/>
  <c r="BW13" i="4"/>
  <c r="AC13" i="3"/>
  <c r="D82" i="3"/>
  <c r="F82" i="3" s="1"/>
  <c r="CO16" i="4"/>
  <c r="BZ16" i="4"/>
  <c r="BX16" i="4"/>
  <c r="BV16" i="4"/>
  <c r="CL75" i="4"/>
  <c r="N50" i="3" s="1"/>
  <c r="CL78" i="4"/>
  <c r="W50" i="3" s="1"/>
  <c r="CL76" i="4"/>
  <c r="Q50" i="3" s="1"/>
  <c r="CL77" i="4"/>
  <c r="T50" i="3" s="1"/>
  <c r="CB16" i="4"/>
  <c r="B24" i="4"/>
  <c r="CW20" i="4" l="1"/>
  <c r="AP20" i="4" s="1"/>
  <c r="CW70" i="4"/>
  <c r="AP70" i="4" s="1"/>
  <c r="CW15" i="4"/>
  <c r="AP15" i="4" s="1"/>
  <c r="CW67" i="4"/>
  <c r="AP67" i="4" s="1"/>
  <c r="CF23" i="4"/>
  <c r="AI23" i="4" s="1"/>
  <c r="DT23" i="4" s="1"/>
  <c r="DV23" i="4" s="1"/>
  <c r="CF58" i="4"/>
  <c r="AI58" i="4" s="1"/>
  <c r="DT58" i="4" s="1"/>
  <c r="DV58" i="4" s="1"/>
  <c r="CF61" i="4"/>
  <c r="AI61" i="4" s="1"/>
  <c r="DT61" i="4" s="1"/>
  <c r="DV61" i="4" s="1"/>
  <c r="CF48" i="4"/>
  <c r="AI48" i="4" s="1"/>
  <c r="DT48" i="4" s="1"/>
  <c r="DV48" i="4" s="1"/>
  <c r="BV75" i="4"/>
  <c r="N42" i="3" s="1"/>
  <c r="CW71" i="4"/>
  <c r="AP71" i="4" s="1"/>
  <c r="CF47" i="4"/>
  <c r="AI47" i="4" s="1"/>
  <c r="DT47" i="4" s="1"/>
  <c r="DV47" i="4" s="1"/>
  <c r="CF63" i="4"/>
  <c r="AI63" i="4" s="1"/>
  <c r="DT63" i="4" s="1"/>
  <c r="DV63" i="4" s="1"/>
  <c r="CF35" i="4"/>
  <c r="AI35" i="4" s="1"/>
  <c r="DT35" i="4" s="1"/>
  <c r="DV35" i="4" s="1"/>
  <c r="CF59" i="4"/>
  <c r="AI59" i="4" s="1"/>
  <c r="DT59" i="4" s="1"/>
  <c r="DV59" i="4" s="1"/>
  <c r="CF29" i="4"/>
  <c r="AI29" i="4" s="1"/>
  <c r="DT29" i="4" s="1"/>
  <c r="DV29" i="4" s="1"/>
  <c r="CF57" i="4"/>
  <c r="AI57" i="4" s="1"/>
  <c r="DT57" i="4" s="1"/>
  <c r="DV57" i="4" s="1"/>
  <c r="CF21" i="4"/>
  <c r="AI21" i="4" s="1"/>
  <c r="DT21" i="4" s="1"/>
  <c r="DV21" i="4" s="1"/>
  <c r="CF52" i="4"/>
  <c r="AI52" i="4" s="1"/>
  <c r="DT52" i="4" s="1"/>
  <c r="DV52" i="4" s="1"/>
  <c r="CW18" i="4"/>
  <c r="AP18" i="4" s="1"/>
  <c r="CW13" i="4"/>
  <c r="AP13" i="4" s="1"/>
  <c r="BV81" i="4"/>
  <c r="Q43" i="3" s="1"/>
  <c r="CD74" i="4"/>
  <c r="H49" i="3" s="1"/>
  <c r="BV76" i="4"/>
  <c r="Q42" i="3" s="1"/>
  <c r="BV77" i="4"/>
  <c r="T42" i="3" s="1"/>
  <c r="BV74" i="4"/>
  <c r="K42" i="3" s="1"/>
  <c r="BV73" i="4"/>
  <c r="H42" i="3" s="1"/>
  <c r="CD76" i="4"/>
  <c r="Q49" i="3" s="1"/>
  <c r="BZ75" i="4"/>
  <c r="N46" i="3" s="1"/>
  <c r="CD75" i="4"/>
  <c r="N49" i="3" s="1"/>
  <c r="CB78" i="4"/>
  <c r="W48" i="3" s="1"/>
  <c r="CD77" i="4"/>
  <c r="T49" i="3" s="1"/>
  <c r="CD78" i="4"/>
  <c r="W49" i="3" s="1"/>
  <c r="CB77" i="4"/>
  <c r="T48" i="3" s="1"/>
  <c r="CO77" i="4"/>
  <c r="T53" i="3" s="1"/>
  <c r="BX74" i="4"/>
  <c r="H44" i="3" s="1"/>
  <c r="BV78" i="4"/>
  <c r="W42" i="3" s="1"/>
  <c r="BV80" i="4"/>
  <c r="N43" i="3" s="1"/>
  <c r="BV79" i="4"/>
  <c r="H43" i="3" s="1"/>
  <c r="BZ17" i="4"/>
  <c r="BZ82" i="4"/>
  <c r="T47" i="3" s="1"/>
  <c r="CF28" i="4"/>
  <c r="AI28" i="4" s="1"/>
  <c r="DT28" i="4" s="1"/>
  <c r="DV28" i="4" s="1"/>
  <c r="CF55" i="4"/>
  <c r="AI55" i="4" s="1"/>
  <c r="DT55" i="4" s="1"/>
  <c r="DV55" i="4" s="1"/>
  <c r="CF25" i="4"/>
  <c r="AI25" i="4" s="1"/>
  <c r="DT25" i="4" s="1"/>
  <c r="DV25" i="4" s="1"/>
  <c r="CF43" i="4"/>
  <c r="AI43" i="4" s="1"/>
  <c r="DT43" i="4" s="1"/>
  <c r="DV43" i="4" s="1"/>
  <c r="BV82" i="4"/>
  <c r="T43" i="3" s="1"/>
  <c r="BZ74" i="4"/>
  <c r="H46" i="3" s="1"/>
  <c r="CO75" i="4"/>
  <c r="N53" i="3" s="1"/>
  <c r="CB76" i="4"/>
  <c r="Q48" i="3" s="1"/>
  <c r="CB75" i="4"/>
  <c r="N48" i="3" s="1"/>
  <c r="CB74" i="4"/>
  <c r="H48" i="3" s="1"/>
  <c r="BZ79" i="4"/>
  <c r="H47" i="3" s="1"/>
  <c r="BZ77" i="4"/>
  <c r="T46" i="3" s="1"/>
  <c r="BZ78" i="4"/>
  <c r="W46" i="3" s="1"/>
  <c r="BZ76" i="4"/>
  <c r="Q46" i="3" s="1"/>
  <c r="BZ81" i="4"/>
  <c r="Q47" i="3" s="1"/>
  <c r="BZ80" i="4"/>
  <c r="N47" i="3" s="1"/>
  <c r="CF19" i="4"/>
  <c r="AI19" i="4" s="1"/>
  <c r="DT19" i="4" s="1"/>
  <c r="DV19" i="4" s="1"/>
  <c r="BX13" i="4"/>
  <c r="BX82" i="4"/>
  <c r="T45" i="3" s="1"/>
  <c r="DJ73" i="4"/>
  <c r="DJ74" i="4" s="1"/>
  <c r="DD14" i="4"/>
  <c r="AA58" i="3"/>
  <c r="M88" i="3" s="1"/>
  <c r="O88" i="3" s="1"/>
  <c r="AA56" i="3"/>
  <c r="CW14" i="4"/>
  <c r="AP14" i="4" s="1"/>
  <c r="AA37" i="3"/>
  <c r="V99" i="3" s="1"/>
  <c r="X99" i="3" s="1"/>
  <c r="AA36" i="3"/>
  <c r="V98" i="3" s="1"/>
  <c r="X98" i="3" s="1"/>
  <c r="AA35" i="3"/>
  <c r="V97" i="3" s="1"/>
  <c r="X97" i="3" s="1"/>
  <c r="DO13" i="4" a="1"/>
  <c r="DO13" i="4" s="1"/>
  <c r="BX80" i="4"/>
  <c r="N45" i="3" s="1"/>
  <c r="BX78" i="4"/>
  <c r="W44" i="3" s="1"/>
  <c r="BX77" i="4"/>
  <c r="T44" i="3" s="1"/>
  <c r="BX76" i="4"/>
  <c r="Q44" i="3" s="1"/>
  <c r="BX81" i="4"/>
  <c r="Q45" i="3" s="1"/>
  <c r="BX79" i="4"/>
  <c r="H45" i="3" s="1"/>
  <c r="BX75" i="4"/>
  <c r="N44" i="3" s="1"/>
  <c r="CM14" i="4"/>
  <c r="CF56" i="4" s="1"/>
  <c r="AI56" i="4" s="1"/>
  <c r="DT56" i="4" s="1"/>
  <c r="DV56" i="4" s="1"/>
  <c r="AA50" i="3"/>
  <c r="B25" i="4"/>
  <c r="DK11" i="4" l="1"/>
  <c r="H13" i="4"/>
  <c r="CW16" i="4"/>
  <c r="AP16" i="4" s="1"/>
  <c r="CW68" i="4"/>
  <c r="AP68" i="4" s="1"/>
  <c r="CF53" i="4"/>
  <c r="AI53" i="4" s="1"/>
  <c r="DT53" i="4" s="1"/>
  <c r="DV53" i="4" s="1"/>
  <c r="CF33" i="4"/>
  <c r="AI33" i="4" s="1"/>
  <c r="DT33" i="4" s="1"/>
  <c r="DV33" i="4" s="1"/>
  <c r="CW19" i="4"/>
  <c r="AP19" i="4" s="1"/>
  <c r="CW72" i="4"/>
  <c r="AP72" i="4" s="1"/>
  <c r="AC57" i="3"/>
  <c r="AC99" i="3"/>
  <c r="AA53" i="3"/>
  <c r="V108" i="3" s="1"/>
  <c r="X108" i="3" s="1"/>
  <c r="AA49" i="3"/>
  <c r="V85" i="3" s="1"/>
  <c r="X85" i="3" s="1"/>
  <c r="AA42" i="3"/>
  <c r="V81" i="3" s="1"/>
  <c r="X81" i="3" s="1"/>
  <c r="AA48" i="3"/>
  <c r="V84" i="3" s="1"/>
  <c r="X84" i="3" s="1"/>
  <c r="AA46" i="3"/>
  <c r="V83" i="3" s="1"/>
  <c r="X83" i="3" s="1"/>
  <c r="CF26" i="4"/>
  <c r="AI26" i="4" s="1"/>
  <c r="DT26" i="4" s="1"/>
  <c r="DV26" i="4" s="1"/>
  <c r="CF17" i="4"/>
  <c r="AI17" i="4" s="1"/>
  <c r="DT17" i="4" s="1"/>
  <c r="DV17" i="4" s="1"/>
  <c r="M86" i="3"/>
  <c r="O86" i="3" s="1"/>
  <c r="CF20" i="4"/>
  <c r="AI20" i="4" s="1"/>
  <c r="DT20" i="4" s="1"/>
  <c r="DV20" i="4" s="1"/>
  <c r="CF15" i="4"/>
  <c r="AI15" i="4" s="1"/>
  <c r="DT15" i="4" s="1"/>
  <c r="DV15" i="4" s="1"/>
  <c r="AC36" i="3"/>
  <c r="DO73" i="4"/>
  <c r="V86" i="3"/>
  <c r="X86" i="3" s="1"/>
  <c r="AA44" i="3"/>
  <c r="V82" i="3" s="1"/>
  <c r="X82" i="3" s="1"/>
  <c r="CF16" i="4"/>
  <c r="AI16" i="4" s="1"/>
  <c r="CF18" i="4"/>
  <c r="AI18" i="4" s="1"/>
  <c r="DT18" i="4" s="1"/>
  <c r="DV18" i="4" s="1"/>
  <c r="CF14" i="4"/>
  <c r="CF13" i="4"/>
  <c r="B26" i="4"/>
  <c r="AC88" i="3" l="1"/>
  <c r="AB102" i="3" s="1"/>
  <c r="DT16" i="4"/>
  <c r="DV16" i="4" s="1"/>
  <c r="AC49" i="3"/>
  <c r="AI14" i="4"/>
  <c r="DT14" i="4" s="1"/>
  <c r="DV14" i="4" s="1"/>
  <c r="K60" i="3"/>
  <c r="DT13" i="4"/>
  <c r="DV13" i="4" s="1"/>
  <c r="B27" i="4"/>
  <c r="DT11" i="4" l="1"/>
  <c r="DT10" i="4" s="1"/>
  <c r="B28" i="4"/>
  <c r="P60" i="3" l="1"/>
  <c r="B29" i="4"/>
  <c r="B30" i="4" l="1"/>
  <c r="B31" i="4" l="1"/>
  <c r="B32" i="4" l="1"/>
  <c r="B33" i="4" l="1"/>
  <c r="B34" i="4" l="1"/>
  <c r="B35" i="4" l="1"/>
  <c r="B36" i="4" l="1"/>
  <c r="B37" i="4" l="1"/>
  <c r="B38" i="4" l="1"/>
  <c r="B39" i="4" l="1"/>
  <c r="B40" i="4" l="1"/>
  <c r="B41" i="4" l="1"/>
  <c r="B42" i="4" l="1"/>
  <c r="B43" i="4" l="1"/>
  <c r="B44" i="4" l="1"/>
  <c r="B45" i="4" l="1"/>
  <c r="B46" i="4" l="1"/>
  <c r="B47" i="4" l="1"/>
  <c r="B48" i="4" l="1"/>
  <c r="B49" i="4" l="1"/>
  <c r="B50" i="4" l="1"/>
  <c r="B51" i="4" l="1"/>
  <c r="B52" i="4" l="1"/>
  <c r="B53" i="4" l="1"/>
  <c r="B54" i="4" l="1"/>
  <c r="B55" i="4" l="1"/>
  <c r="B56" i="4" l="1"/>
  <c r="B57" i="4" l="1"/>
  <c r="B58" i="4" s="1"/>
  <c r="B59" i="4" l="1"/>
  <c r="B60" i="4" s="1"/>
  <c r="B61" i="4" s="1"/>
  <c r="B62" i="4" s="1"/>
  <c r="B63" i="4" l="1"/>
  <c r="B64" i="4" s="1"/>
  <c r="B65" i="4" s="1"/>
  <c r="B66" i="4" l="1"/>
  <c r="B67" i="4" s="1"/>
  <c r="B68" i="4" s="1"/>
  <c r="B69" i="4" l="1"/>
  <c r="B70" i="4" l="1"/>
  <c r="B71" i="4" l="1"/>
  <c r="B72" i="4" s="1"/>
  <c r="U60" i="3" l="1"/>
  <c r="DH72" i="4"/>
  <c r="DH71" i="4"/>
  <c r="DH70" i="4"/>
  <c r="DH69" i="4"/>
  <c r="DH68" i="4"/>
  <c r="DH67" i="4"/>
  <c r="DH66" i="4"/>
  <c r="DH65" i="4"/>
  <c r="DH64" i="4"/>
  <c r="DH63" i="4"/>
  <c r="DH62" i="4"/>
  <c r="DH61" i="4"/>
  <c r="DH60" i="4"/>
  <c r="DH59" i="4"/>
  <c r="DH58" i="4"/>
  <c r="DH57" i="4"/>
  <c r="DH56" i="4"/>
  <c r="DH55" i="4"/>
  <c r="DH54" i="4"/>
  <c r="DH53" i="4"/>
  <c r="DH52" i="4"/>
  <c r="DH51" i="4"/>
  <c r="DH50" i="4"/>
  <c r="DH49" i="4"/>
  <c r="DH48" i="4"/>
  <c r="DH47" i="4"/>
  <c r="DH46" i="4"/>
  <c r="DH45" i="4"/>
  <c r="DH44" i="4"/>
  <c r="DH43" i="4"/>
  <c r="DH42" i="4"/>
  <c r="DH41" i="4"/>
  <c r="DH40" i="4"/>
  <c r="DH39" i="4"/>
  <c r="DH38" i="4"/>
  <c r="DH37" i="4"/>
  <c r="DH36" i="4"/>
  <c r="DH35" i="4"/>
  <c r="DH34" i="4"/>
  <c r="DH33" i="4"/>
  <c r="DH32" i="4"/>
  <c r="DH31" i="4"/>
  <c r="DH30" i="4"/>
  <c r="DH29" i="4"/>
  <c r="DH28" i="4"/>
  <c r="DH27" i="4"/>
  <c r="DH26" i="4"/>
  <c r="DH25" i="4"/>
  <c r="DH24" i="4"/>
  <c r="DH23" i="4"/>
  <c r="DH22" i="4"/>
  <c r="DH21" i="4"/>
  <c r="DH20" i="4"/>
  <c r="DH19" i="4"/>
  <c r="DH18" i="4"/>
  <c r="DH17" i="4"/>
  <c r="DH16" i="4"/>
  <c r="DH15" i="4"/>
  <c r="DH14" i="4"/>
  <c r="DH13" i="4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<sst xmlns="http://schemas.openxmlformats.org/spreadsheetml/2006/main" count="1837" uniqueCount="847">
  <si>
    <t>参加費</t>
    <rPh sb="0" eb="3">
      <t>サンカヒ</t>
    </rPh>
    <phoneticPr fontId="4"/>
  </si>
  <si>
    <t>小学生</t>
    <rPh sb="0" eb="3">
      <t>ショウガクセイ</t>
    </rPh>
    <phoneticPr fontId="4"/>
  </si>
  <si>
    <t>中学生</t>
    <rPh sb="0" eb="3">
      <t>チュウガクセイ</t>
    </rPh>
    <phoneticPr fontId="4"/>
  </si>
  <si>
    <t>高校生</t>
    <rPh sb="0" eb="3">
      <t>コウコウセイ</t>
    </rPh>
    <phoneticPr fontId="4"/>
  </si>
  <si>
    <t>大学・一般</t>
    <rPh sb="0" eb="2">
      <t>ダイガク</t>
    </rPh>
    <rPh sb="3" eb="5">
      <t>イッパン</t>
    </rPh>
    <phoneticPr fontId="4"/>
  </si>
  <si>
    <t>7歳</t>
    <rPh sb="1" eb="2">
      <t>サイ</t>
    </rPh>
    <phoneticPr fontId="4"/>
  </si>
  <si>
    <t>8歳</t>
    <rPh sb="1" eb="2">
      <t>サイ</t>
    </rPh>
    <phoneticPr fontId="4"/>
  </si>
  <si>
    <t>9歳</t>
    <rPh sb="1" eb="2">
      <t>サイ</t>
    </rPh>
    <phoneticPr fontId="4"/>
  </si>
  <si>
    <t>10歳</t>
    <rPh sb="2" eb="3">
      <t>サイ</t>
    </rPh>
    <phoneticPr fontId="4"/>
  </si>
  <si>
    <t>11歳</t>
    <rPh sb="2" eb="3">
      <t>サイ</t>
    </rPh>
    <phoneticPr fontId="4"/>
  </si>
  <si>
    <t>12歳</t>
    <rPh sb="2" eb="3">
      <t>サイ</t>
    </rPh>
    <phoneticPr fontId="4"/>
  </si>
  <si>
    <t>13歳</t>
    <rPh sb="2" eb="3">
      <t>サイ</t>
    </rPh>
    <phoneticPr fontId="4"/>
  </si>
  <si>
    <t>14歳</t>
    <rPh sb="2" eb="3">
      <t>サイ</t>
    </rPh>
    <phoneticPr fontId="4"/>
  </si>
  <si>
    <t>15歳</t>
    <rPh sb="2" eb="3">
      <t>サイ</t>
    </rPh>
    <phoneticPr fontId="4"/>
  </si>
  <si>
    <t>16歳</t>
    <rPh sb="2" eb="3">
      <t>サイ</t>
    </rPh>
    <phoneticPr fontId="4"/>
  </si>
  <si>
    <t>17歳</t>
    <rPh sb="2" eb="3">
      <t>サイ</t>
    </rPh>
    <phoneticPr fontId="4"/>
  </si>
  <si>
    <t>18歳</t>
    <rPh sb="2" eb="3">
      <t>サイ</t>
    </rPh>
    <phoneticPr fontId="4"/>
  </si>
  <si>
    <t>19歳</t>
    <rPh sb="2" eb="3">
      <t>サイ</t>
    </rPh>
    <phoneticPr fontId="4"/>
  </si>
  <si>
    <t>20歳</t>
    <rPh sb="2" eb="3">
      <t>サイ</t>
    </rPh>
    <phoneticPr fontId="4"/>
  </si>
  <si>
    <t>21歳</t>
    <rPh sb="2" eb="3">
      <t>サイ</t>
    </rPh>
    <phoneticPr fontId="4"/>
  </si>
  <si>
    <t>22歳</t>
    <rPh sb="2" eb="3">
      <t>サイ</t>
    </rPh>
    <phoneticPr fontId="4"/>
  </si>
  <si>
    <t>ソロトワール</t>
    <phoneticPr fontId="4"/>
  </si>
  <si>
    <t>女子</t>
    <rPh sb="0" eb="2">
      <t>ジョシ</t>
    </rPh>
    <phoneticPr fontId="4"/>
  </si>
  <si>
    <t>男子</t>
    <rPh sb="0" eb="2">
      <t>ダンシ</t>
    </rPh>
    <phoneticPr fontId="4"/>
  </si>
  <si>
    <t>トゥーバトン</t>
    <phoneticPr fontId="4"/>
  </si>
  <si>
    <t>ソロストラット</t>
    <phoneticPr fontId="4"/>
  </si>
  <si>
    <t>未就学</t>
    <rPh sb="0" eb="3">
      <t>ミシュウガク</t>
    </rPh>
    <phoneticPr fontId="3"/>
  </si>
  <si>
    <t>Ｕ－６</t>
    <phoneticPr fontId="3"/>
  </si>
  <si>
    <t>Ｕ－９</t>
    <phoneticPr fontId="3"/>
  </si>
  <si>
    <t>Ｕ－１２</t>
    <phoneticPr fontId="3"/>
  </si>
  <si>
    <t>Ｕ－１５</t>
    <phoneticPr fontId="3"/>
  </si>
  <si>
    <t>Ｕ－１８</t>
    <phoneticPr fontId="3"/>
  </si>
  <si>
    <t>Ｏ－１９</t>
    <phoneticPr fontId="3"/>
  </si>
  <si>
    <t>エントリー別人数表</t>
    <rPh sb="5" eb="6">
      <t>ベツ</t>
    </rPh>
    <rPh sb="6" eb="8">
      <t>ニンズウ</t>
    </rPh>
    <rPh sb="8" eb="9">
      <t>ヒョウ</t>
    </rPh>
    <phoneticPr fontId="4"/>
  </si>
  <si>
    <t>団体登録No.</t>
    <rPh sb="0" eb="2">
      <t>ダンタイ</t>
    </rPh>
    <rPh sb="2" eb="4">
      <t>トウロク</t>
    </rPh>
    <phoneticPr fontId="4"/>
  </si>
  <si>
    <t>所属都県</t>
    <rPh sb="0" eb="2">
      <t>ショゾク</t>
    </rPh>
    <rPh sb="2" eb="3">
      <t>ト</t>
    </rPh>
    <rPh sb="3" eb="4">
      <t>ケン</t>
    </rPh>
    <phoneticPr fontId="4"/>
  </si>
  <si>
    <t>登録団体名</t>
    <rPh sb="0" eb="2">
      <t>トウロク</t>
    </rPh>
    <rPh sb="2" eb="4">
      <t>ダンタイ</t>
    </rPh>
    <rPh sb="4" eb="5">
      <t>メイ</t>
    </rPh>
    <phoneticPr fontId="4"/>
  </si>
  <si>
    <t>年齢</t>
    <rPh sb="0" eb="2">
      <t>ネンレイ</t>
    </rPh>
    <phoneticPr fontId="4"/>
  </si>
  <si>
    <t>合計</t>
    <rPh sb="0" eb="2">
      <t>ゴウケイ</t>
    </rPh>
    <phoneticPr fontId="4"/>
  </si>
  <si>
    <t>スリーバトン</t>
    <phoneticPr fontId="4"/>
  </si>
  <si>
    <t>ダンストワール</t>
    <phoneticPr fontId="4"/>
  </si>
  <si>
    <t>ペア</t>
    <phoneticPr fontId="4"/>
  </si>
  <si>
    <t>選手実数</t>
    <rPh sb="0" eb="2">
      <t>センシュ</t>
    </rPh>
    <rPh sb="2" eb="3">
      <t>ジツ</t>
    </rPh>
    <rPh sb="3" eb="4">
      <t>スウ</t>
    </rPh>
    <phoneticPr fontId="4"/>
  </si>
  <si>
    <t>団体名</t>
    <rPh sb="0" eb="2">
      <t>ダンタイ</t>
    </rPh>
    <rPh sb="2" eb="3">
      <t>メイ</t>
    </rPh>
    <phoneticPr fontId="4"/>
  </si>
  <si>
    <t>団体代表者者名</t>
    <rPh sb="0" eb="2">
      <t>ダンタイ</t>
    </rPh>
    <rPh sb="2" eb="5">
      <t>ダイヒョウシャ</t>
    </rPh>
    <rPh sb="5" eb="6">
      <t>シャ</t>
    </rPh>
    <rPh sb="6" eb="7">
      <t>メイ</t>
    </rPh>
    <phoneticPr fontId="4"/>
  </si>
  <si>
    <t>都県</t>
    <rPh sb="0" eb="2">
      <t>トケン</t>
    </rPh>
    <phoneticPr fontId="4"/>
  </si>
  <si>
    <t>団体住所</t>
    <rPh sb="0" eb="2">
      <t>ダンタイ</t>
    </rPh>
    <rPh sb="2" eb="4">
      <t>ジュウショ</t>
    </rPh>
    <phoneticPr fontId="4"/>
  </si>
  <si>
    <t>ＦＡＸ</t>
    <phoneticPr fontId="4"/>
  </si>
  <si>
    <t>連絡mailアドレス</t>
    <rPh sb="0" eb="2">
      <t>レンラク</t>
    </rPh>
    <phoneticPr fontId="4"/>
  </si>
  <si>
    <t>×</t>
    <phoneticPr fontId="4"/>
  </si>
  <si>
    <t>ダンストワール</t>
    <phoneticPr fontId="4"/>
  </si>
  <si>
    <t>ペア</t>
    <phoneticPr fontId="4"/>
  </si>
  <si>
    <t>～６歳</t>
    <rPh sb="2" eb="3">
      <t>サイ</t>
    </rPh>
    <phoneticPr fontId="4"/>
  </si>
  <si>
    <t>入門</t>
    <rPh sb="0" eb="2">
      <t>ニュウモン</t>
    </rPh>
    <phoneticPr fontId="1"/>
  </si>
  <si>
    <t>入門</t>
    <rPh sb="0" eb="2">
      <t>ニュウモン</t>
    </rPh>
    <phoneticPr fontId="4"/>
  </si>
  <si>
    <t>初級</t>
    <rPh sb="0" eb="2">
      <t>ショキュウ</t>
    </rPh>
    <phoneticPr fontId="1"/>
  </si>
  <si>
    <t>初級</t>
    <rPh sb="0" eb="2">
      <t>ショキュウ</t>
    </rPh>
    <phoneticPr fontId="4"/>
  </si>
  <si>
    <t>中級</t>
    <rPh sb="0" eb="2">
      <t>チュウキュウ</t>
    </rPh>
    <phoneticPr fontId="1"/>
  </si>
  <si>
    <t>中級</t>
    <rPh sb="0" eb="2">
      <t>チュウキュウ</t>
    </rPh>
    <phoneticPr fontId="4"/>
  </si>
  <si>
    <t>上級</t>
    <rPh sb="0" eb="2">
      <t>ジョウキュウ</t>
    </rPh>
    <phoneticPr fontId="1"/>
  </si>
  <si>
    <t>上級</t>
    <rPh sb="0" eb="2">
      <t>ジョウキュウ</t>
    </rPh>
    <phoneticPr fontId="4"/>
  </si>
  <si>
    <t>年齢</t>
    <rPh sb="0" eb="2">
      <t>ネンレイ</t>
    </rPh>
    <phoneticPr fontId="7"/>
  </si>
  <si>
    <t>部門</t>
    <rPh sb="0" eb="2">
      <t>ブモン</t>
    </rPh>
    <phoneticPr fontId="7"/>
  </si>
  <si>
    <t>関東６種目</t>
    <rPh sb="0" eb="2">
      <t>カントウ</t>
    </rPh>
    <rPh sb="3" eb="5">
      <t>シュモク</t>
    </rPh>
    <phoneticPr fontId="7"/>
  </si>
  <si>
    <t>23歳以上</t>
    <phoneticPr fontId="4"/>
  </si>
  <si>
    <t>トゥーバトン</t>
    <phoneticPr fontId="7"/>
  </si>
  <si>
    <t>スリーバトン</t>
    <phoneticPr fontId="7"/>
  </si>
  <si>
    <t>ペア</t>
    <phoneticPr fontId="7"/>
  </si>
  <si>
    <t>ソロストラット</t>
    <phoneticPr fontId="7"/>
  </si>
  <si>
    <t>ダンストワール</t>
    <phoneticPr fontId="7"/>
  </si>
  <si>
    <t>６種目選手権</t>
    <rPh sb="1" eb="3">
      <t>シュモク</t>
    </rPh>
    <rPh sb="3" eb="6">
      <t>センシュケン</t>
    </rPh>
    <phoneticPr fontId="7"/>
  </si>
  <si>
    <t>エントリー</t>
    <phoneticPr fontId="4"/>
  </si>
  <si>
    <t>総数</t>
    <phoneticPr fontId="7"/>
  </si>
  <si>
    <t>実数</t>
    <phoneticPr fontId="7"/>
  </si>
  <si>
    <t>関東６種目
総数</t>
    <rPh sb="0" eb="2">
      <t>カントウ</t>
    </rPh>
    <rPh sb="3" eb="5">
      <t>シュモク</t>
    </rPh>
    <rPh sb="6" eb="8">
      <t>ソウスウ</t>
    </rPh>
    <phoneticPr fontId="4"/>
  </si>
  <si>
    <t>６種目選手権
総数</t>
    <rPh sb="1" eb="3">
      <t>シュモク</t>
    </rPh>
    <rPh sb="3" eb="6">
      <t>センシュケン</t>
    </rPh>
    <rPh sb="7" eb="9">
      <t>ソウスウ</t>
    </rPh>
    <phoneticPr fontId="4"/>
  </si>
  <si>
    <t>出場選手情報　入力欄　　（※１人１行に入力）</t>
    <rPh sb="15" eb="16">
      <t>ニン</t>
    </rPh>
    <rPh sb="17" eb="18">
      <t>ギョウ</t>
    </rPh>
    <rPh sb="19" eb="21">
      <t>ニュウリョク</t>
    </rPh>
    <phoneticPr fontId="4"/>
  </si>
  <si>
    <t>No.</t>
    <phoneticPr fontId="4"/>
  </si>
  <si>
    <t>氏名</t>
    <rPh sb="0" eb="2">
      <t>シメイ</t>
    </rPh>
    <phoneticPr fontId="4"/>
  </si>
  <si>
    <t>生年月日</t>
    <rPh sb="0" eb="2">
      <t>セイネン</t>
    </rPh>
    <rPh sb="2" eb="4">
      <t>ガッピ</t>
    </rPh>
    <phoneticPr fontId="4"/>
  </si>
  <si>
    <t>ソロトワール</t>
    <phoneticPr fontId="4"/>
  </si>
  <si>
    <t>学校名</t>
    <rPh sb="0" eb="3">
      <t>ガッコウメイ</t>
    </rPh>
    <phoneticPr fontId="4"/>
  </si>
  <si>
    <t>都県市区町村</t>
    <rPh sb="0" eb="2">
      <t>トケン</t>
    </rPh>
    <rPh sb="2" eb="4">
      <t>シク</t>
    </rPh>
    <rPh sb="4" eb="6">
      <t>チョウソン</t>
    </rPh>
    <phoneticPr fontId="4"/>
  </si>
  <si>
    <t>例</t>
    <rPh sb="0" eb="1">
      <t>レイ</t>
    </rPh>
    <phoneticPr fontId="4"/>
  </si>
  <si>
    <t>関東　はな子</t>
    <rPh sb="0" eb="2">
      <t>カントウ</t>
    </rPh>
    <rPh sb="5" eb="6">
      <t>コ</t>
    </rPh>
    <phoneticPr fontId="4"/>
  </si>
  <si>
    <t>関東　望</t>
    <rPh sb="0" eb="2">
      <t>カントウ</t>
    </rPh>
    <rPh sb="3" eb="4">
      <t>ノゾミ</t>
    </rPh>
    <phoneticPr fontId="4"/>
  </si>
  <si>
    <t>コード反映表</t>
    <rPh sb="3" eb="5">
      <t>ハンエイ</t>
    </rPh>
    <rPh sb="5" eb="6">
      <t>ヒョウ</t>
    </rPh>
    <phoneticPr fontId="4"/>
  </si>
  <si>
    <t>関東　建太</t>
    <rPh sb="0" eb="2">
      <t>カントウ</t>
    </rPh>
    <rPh sb="3" eb="5">
      <t>ケンタ</t>
    </rPh>
    <phoneticPr fontId="4"/>
  </si>
  <si>
    <t>男子</t>
  </si>
  <si>
    <t>1-1</t>
    <phoneticPr fontId="4"/>
  </si>
  <si>
    <t>関東　太郎</t>
    <rPh sb="0" eb="2">
      <t>カントウ</t>
    </rPh>
    <rPh sb="3" eb="5">
      <t>タロウ</t>
    </rPh>
    <phoneticPr fontId="4"/>
  </si>
  <si>
    <t>1-2</t>
    <phoneticPr fontId="4"/>
  </si>
  <si>
    <t>ダンストワール</t>
    <phoneticPr fontId="4"/>
  </si>
  <si>
    <t>年齢区分</t>
    <rPh sb="0" eb="2">
      <t>ネンレイ</t>
    </rPh>
    <rPh sb="2" eb="4">
      <t>クブン</t>
    </rPh>
    <phoneticPr fontId="4"/>
  </si>
  <si>
    <t>反映コード</t>
    <rPh sb="0" eb="2">
      <t>ハンエイ</t>
    </rPh>
    <phoneticPr fontId="4"/>
  </si>
  <si>
    <t>種目</t>
    <rPh sb="0" eb="2">
      <t>シュモク</t>
    </rPh>
    <phoneticPr fontId="4"/>
  </si>
  <si>
    <t>ペアNo.</t>
    <phoneticPr fontId="4"/>
  </si>
  <si>
    <t>個人反映コード</t>
    <rPh sb="0" eb="2">
      <t>コジン</t>
    </rPh>
    <rPh sb="2" eb="4">
      <t>ハンエイ</t>
    </rPh>
    <phoneticPr fontId="4"/>
  </si>
  <si>
    <t>ペアコード</t>
    <phoneticPr fontId="4"/>
  </si>
  <si>
    <t>3-1</t>
    <phoneticPr fontId="4"/>
  </si>
  <si>
    <t>3-2</t>
    <phoneticPr fontId="4"/>
  </si>
  <si>
    <t>4-1</t>
    <phoneticPr fontId="4"/>
  </si>
  <si>
    <t>4-2</t>
    <phoneticPr fontId="4"/>
  </si>
  <si>
    <t>5-1</t>
    <phoneticPr fontId="4"/>
  </si>
  <si>
    <t>5-2</t>
    <phoneticPr fontId="4"/>
  </si>
  <si>
    <t>6-1</t>
    <phoneticPr fontId="4"/>
  </si>
  <si>
    <t>6-2</t>
    <phoneticPr fontId="4"/>
  </si>
  <si>
    <t>7-1</t>
    <phoneticPr fontId="4"/>
  </si>
  <si>
    <t>7-2</t>
    <phoneticPr fontId="4"/>
  </si>
  <si>
    <t>8-1</t>
    <phoneticPr fontId="4"/>
  </si>
  <si>
    <t>8-2</t>
    <phoneticPr fontId="4"/>
  </si>
  <si>
    <t>9-1</t>
    <phoneticPr fontId="4"/>
  </si>
  <si>
    <t>9-2</t>
    <phoneticPr fontId="4"/>
  </si>
  <si>
    <t>10-1</t>
    <phoneticPr fontId="4"/>
  </si>
  <si>
    <t>10-2</t>
    <phoneticPr fontId="4"/>
  </si>
  <si>
    <t>11-1</t>
    <phoneticPr fontId="4"/>
  </si>
  <si>
    <t>11-2</t>
    <phoneticPr fontId="4"/>
  </si>
  <si>
    <t>12-1</t>
    <phoneticPr fontId="4"/>
  </si>
  <si>
    <t>12-2</t>
    <phoneticPr fontId="4"/>
  </si>
  <si>
    <t>13-1</t>
    <phoneticPr fontId="4"/>
  </si>
  <si>
    <t>13-2</t>
    <phoneticPr fontId="4"/>
  </si>
  <si>
    <t>14-1</t>
    <phoneticPr fontId="4"/>
  </si>
  <si>
    <t>14-2</t>
    <phoneticPr fontId="4"/>
  </si>
  <si>
    <t>15-1</t>
    <phoneticPr fontId="4"/>
  </si>
  <si>
    <t>15-2</t>
    <phoneticPr fontId="4"/>
  </si>
  <si>
    <t>16-1</t>
    <phoneticPr fontId="4"/>
  </si>
  <si>
    <t>16-2</t>
    <phoneticPr fontId="4"/>
  </si>
  <si>
    <t>17-1</t>
    <phoneticPr fontId="4"/>
  </si>
  <si>
    <t>17-2</t>
    <phoneticPr fontId="4"/>
  </si>
  <si>
    <t>18-1</t>
    <phoneticPr fontId="4"/>
  </si>
  <si>
    <t>18-2</t>
    <phoneticPr fontId="4"/>
  </si>
  <si>
    <t>19-1</t>
    <phoneticPr fontId="4"/>
  </si>
  <si>
    <t>19-2</t>
    <phoneticPr fontId="4"/>
  </si>
  <si>
    <t>20-1</t>
    <phoneticPr fontId="4"/>
  </si>
  <si>
    <t>20-2</t>
    <phoneticPr fontId="4"/>
  </si>
  <si>
    <t>21-1</t>
    <phoneticPr fontId="4"/>
  </si>
  <si>
    <t>21-2</t>
    <phoneticPr fontId="4"/>
  </si>
  <si>
    <t>22-1</t>
    <phoneticPr fontId="4"/>
  </si>
  <si>
    <t>22-2</t>
    <phoneticPr fontId="4"/>
  </si>
  <si>
    <t>23-1</t>
    <phoneticPr fontId="4"/>
  </si>
  <si>
    <t>23-2</t>
    <phoneticPr fontId="4"/>
  </si>
  <si>
    <t>24-1</t>
    <phoneticPr fontId="4"/>
  </si>
  <si>
    <t>24-2</t>
    <phoneticPr fontId="4"/>
  </si>
  <si>
    <t>25-1</t>
    <phoneticPr fontId="4"/>
  </si>
  <si>
    <t>25-2</t>
    <phoneticPr fontId="4"/>
  </si>
  <si>
    <t>26-1</t>
    <phoneticPr fontId="4"/>
  </si>
  <si>
    <t>26-2</t>
    <phoneticPr fontId="4"/>
  </si>
  <si>
    <t>27-1</t>
    <phoneticPr fontId="4"/>
  </si>
  <si>
    <t>27-2</t>
    <phoneticPr fontId="4"/>
  </si>
  <si>
    <t>28-1</t>
    <phoneticPr fontId="4"/>
  </si>
  <si>
    <t>28-2</t>
    <phoneticPr fontId="4"/>
  </si>
  <si>
    <t>29-1</t>
    <phoneticPr fontId="4"/>
  </si>
  <si>
    <t>29-2</t>
    <phoneticPr fontId="4"/>
  </si>
  <si>
    <t>30-1</t>
    <phoneticPr fontId="4"/>
  </si>
  <si>
    <t>30-2</t>
    <phoneticPr fontId="4"/>
  </si>
  <si>
    <t>ソロストラット</t>
    <phoneticPr fontId="3"/>
  </si>
  <si>
    <t>スリーバトン</t>
    <phoneticPr fontId="7"/>
  </si>
  <si>
    <t>初級</t>
    <rPh sb="0" eb="2">
      <t>ショキュウ</t>
    </rPh>
    <phoneticPr fontId="7"/>
  </si>
  <si>
    <t>中級</t>
    <rPh sb="0" eb="2">
      <t>チュウキュウ</t>
    </rPh>
    <phoneticPr fontId="7"/>
  </si>
  <si>
    <t>上級</t>
    <rPh sb="0" eb="2">
      <t>ジョウキュウ</t>
    </rPh>
    <phoneticPr fontId="7"/>
  </si>
  <si>
    <t>1-1</t>
    <phoneticPr fontId="7"/>
  </si>
  <si>
    <t>1-2</t>
    <phoneticPr fontId="7"/>
  </si>
  <si>
    <t>選手権</t>
    <rPh sb="0" eb="3">
      <t>センシュケン</t>
    </rPh>
    <phoneticPr fontId="7"/>
  </si>
  <si>
    <t>入門</t>
    <rPh sb="0" eb="2">
      <t>ニュウモン</t>
    </rPh>
    <phoneticPr fontId="7"/>
  </si>
  <si>
    <t>オープン</t>
    <phoneticPr fontId="7"/>
  </si>
  <si>
    <t>重複</t>
    <rPh sb="0" eb="2">
      <t>チョウフク</t>
    </rPh>
    <phoneticPr fontId="7"/>
  </si>
  <si>
    <t>入門・初級・中級・上級から選ぶ</t>
    <rPh sb="0" eb="2">
      <t>ニュウモン</t>
    </rPh>
    <rPh sb="3" eb="5">
      <t>ショキュウ</t>
    </rPh>
    <rPh sb="6" eb="8">
      <t>チュウキュウ</t>
    </rPh>
    <rPh sb="9" eb="11">
      <t>ジョウキュウ</t>
    </rPh>
    <rPh sb="13" eb="14">
      <t>エラ</t>
    </rPh>
    <phoneticPr fontId="7"/>
  </si>
  <si>
    <t>茨城県</t>
    <rPh sb="0" eb="3">
      <t>イバラキケン</t>
    </rPh>
    <phoneticPr fontId="4"/>
  </si>
  <si>
    <t>栃木県</t>
    <rPh sb="0" eb="3">
      <t>トチギケン</t>
    </rPh>
    <phoneticPr fontId="4"/>
  </si>
  <si>
    <t>群馬県</t>
    <rPh sb="0" eb="3">
      <t>グンマケン</t>
    </rPh>
    <phoneticPr fontId="4"/>
  </si>
  <si>
    <t>埼玉県</t>
    <rPh sb="0" eb="3">
      <t>サイタマケン</t>
    </rPh>
    <phoneticPr fontId="4"/>
  </si>
  <si>
    <t>千葉県</t>
    <rPh sb="0" eb="3">
      <t>チバケン</t>
    </rPh>
    <phoneticPr fontId="4"/>
  </si>
  <si>
    <t>東京都</t>
    <rPh sb="0" eb="2">
      <t>トウキョウ</t>
    </rPh>
    <rPh sb="2" eb="3">
      <t>ト</t>
    </rPh>
    <phoneticPr fontId="4"/>
  </si>
  <si>
    <t>神奈川県</t>
    <rPh sb="0" eb="4">
      <t>カナガワケン</t>
    </rPh>
    <phoneticPr fontId="4"/>
  </si>
  <si>
    <t>山梨県</t>
    <rPh sb="0" eb="3">
      <t>ヤマナシケン</t>
    </rPh>
    <phoneticPr fontId="4"/>
  </si>
  <si>
    <t>★エラー『＃Ｎ/Ａ』を含んだセルの合計値を出す</t>
    <rPh sb="11" eb="12">
      <t>フク</t>
    </rPh>
    <rPh sb="17" eb="19">
      <t>ゴウケイ</t>
    </rPh>
    <rPh sb="19" eb="20">
      <t>チ</t>
    </rPh>
    <rPh sb="21" eb="22">
      <t>ダ</t>
    </rPh>
    <phoneticPr fontId="4"/>
  </si>
  <si>
    <t>配列数式</t>
    <rPh sb="0" eb="2">
      <t>ハイレツ</t>
    </rPh>
    <rPh sb="2" eb="4">
      <t>スウシキ</t>
    </rPh>
    <phoneticPr fontId="4"/>
  </si>
  <si>
    <t>配列とは、複数のセルの集まりです。配列数式とは、配列（複数セル）を対象に、1つの数式を作成する式です。</t>
    <phoneticPr fontId="4"/>
  </si>
  <si>
    <t>配列数式で使う対象範囲（引数）は、全て同じ行数／列数である必要があります。配列数式は、1つ１つのセルを</t>
    <phoneticPr fontId="4"/>
  </si>
  <si>
    <t>対象に計算するしかない （作業列が必要）といった場合に活躍します。</t>
    <phoneticPr fontId="4"/>
  </si>
  <si>
    <t>↑エラーが出ない数式</t>
    <rPh sb="5" eb="6">
      <t>デ</t>
    </rPh>
    <rPh sb="8" eb="10">
      <t>スウシキ</t>
    </rPh>
    <phoneticPr fontId="4"/>
  </si>
  <si>
    <t>を入力し、最後に「Ｃｔｒｌ」+「Ｓｈｉｔ」+「Ｅｎｔｅｒ」を押して、{＝ＳＵＭ～～｝を付ける。自動的に入力されるもので、手入力しない</t>
    <rPh sb="1" eb="3">
      <t>ニュウリョク</t>
    </rPh>
    <rPh sb="5" eb="7">
      <t>サイゴ</t>
    </rPh>
    <rPh sb="30" eb="31">
      <t>オ</t>
    </rPh>
    <rPh sb="43" eb="44">
      <t>ツ</t>
    </rPh>
    <phoneticPr fontId="4"/>
  </si>
  <si>
    <t>例　=SUM(A1:A5)　エラーセルがある</t>
    <rPh sb="0" eb="1">
      <t>レイ</t>
    </rPh>
    <phoneticPr fontId="4"/>
  </si>
  <si>
    <t>　　=SUM(IF(ISERROR(A1:A5),0,A1:A5))　［Ctrl］キー＋［Shift］キー＋［Enter］キー</t>
    <phoneticPr fontId="4"/>
  </si>
  <si>
    <t>　　{=SUM(IF(ISERROR(A1:A5),0,A1:A5))}</t>
    <phoneticPr fontId="4"/>
  </si>
  <si>
    <t>分解すると</t>
    <rPh sb="0" eb="2">
      <t>ブンカイ</t>
    </rPh>
    <phoneticPr fontId="4"/>
  </si>
  <si>
    <t>=SUM(</t>
  </si>
  <si>
    <t>　IF(ISERROR(A1),0,A1),</t>
  </si>
  <si>
    <t>　IF(ISERROR(A2),0,A2),</t>
  </si>
  <si>
    <t>　IF(ISERROR(A3),0,A3),</t>
  </si>
  <si>
    <t>　IF(ISERROR(A4),0,A4),</t>
  </si>
  <si>
    <t>　IF(ISERROR(A5),0,A5))</t>
  </si>
  <si>
    <t>となる。</t>
    <phoneticPr fontId="4"/>
  </si>
  <si>
    <t>規　Ｂ入門</t>
    <rPh sb="0" eb="1">
      <t>キ</t>
    </rPh>
    <rPh sb="3" eb="5">
      <t>ニュウモン</t>
    </rPh>
    <phoneticPr fontId="7"/>
  </si>
  <si>
    <t>規　Ｂ初級</t>
    <rPh sb="0" eb="1">
      <t>キ</t>
    </rPh>
    <rPh sb="3" eb="5">
      <t>ショキュウ</t>
    </rPh>
    <phoneticPr fontId="7"/>
  </si>
  <si>
    <t>男子</t>
    <rPh sb="0" eb="2">
      <t>ダンシ</t>
    </rPh>
    <phoneticPr fontId="7"/>
  </si>
  <si>
    <t>R-B-6</t>
  </si>
  <si>
    <t>R-B-12</t>
  </si>
  <si>
    <t>R-B-15</t>
  </si>
  <si>
    <t>R-I-6</t>
  </si>
  <si>
    <t>R-A-6</t>
  </si>
  <si>
    <t>R-B-9</t>
  </si>
  <si>
    <t>R-I-9</t>
  </si>
  <si>
    <t>R-A-9</t>
  </si>
  <si>
    <t>R-I-12</t>
  </si>
  <si>
    <t>R-A-12</t>
  </si>
  <si>
    <t>R-I-15</t>
  </si>
  <si>
    <t>R-A-15</t>
  </si>
  <si>
    <t>R-B-18</t>
  </si>
  <si>
    <t>R-I-18</t>
  </si>
  <si>
    <t>R-A-18</t>
  </si>
  <si>
    <t>R-B-19</t>
  </si>
  <si>
    <t>R-I-19</t>
  </si>
  <si>
    <t>R-A-19</t>
  </si>
  <si>
    <t>R-N-6</t>
    <phoneticPr fontId="7"/>
  </si>
  <si>
    <t>R-N-9</t>
    <phoneticPr fontId="7"/>
  </si>
  <si>
    <t>R-N-12</t>
    <phoneticPr fontId="7"/>
  </si>
  <si>
    <t>R-N-15</t>
    <phoneticPr fontId="7"/>
  </si>
  <si>
    <t>R-N-18</t>
    <phoneticPr fontId="7"/>
  </si>
  <si>
    <t>R-N-19</t>
    <phoneticPr fontId="7"/>
  </si>
  <si>
    <t>規　B中級</t>
    <rPh sb="0" eb="1">
      <t>キ</t>
    </rPh>
    <rPh sb="3" eb="5">
      <t>チュウキュウ</t>
    </rPh>
    <phoneticPr fontId="7"/>
  </si>
  <si>
    <t>規　B上級</t>
    <rPh sb="0" eb="1">
      <t>キ</t>
    </rPh>
    <rPh sb="3" eb="5">
      <t>ジョウキュウ</t>
    </rPh>
    <phoneticPr fontId="7"/>
  </si>
  <si>
    <t>規　PP初級</t>
    <rPh sb="0" eb="1">
      <t>キ</t>
    </rPh>
    <rPh sb="4" eb="6">
      <t>ショキュウ</t>
    </rPh>
    <phoneticPr fontId="7"/>
  </si>
  <si>
    <t>PP-B-6</t>
  </si>
  <si>
    <t>PP-B-9</t>
  </si>
  <si>
    <t>PP-B-12</t>
  </si>
  <si>
    <t>PP-B-15</t>
  </si>
  <si>
    <t>PP-B-18</t>
  </si>
  <si>
    <t>PP-B-19</t>
  </si>
  <si>
    <t>生年月日</t>
    <rPh sb="0" eb="2">
      <t>セイネン</t>
    </rPh>
    <rPh sb="2" eb="4">
      <t>ガッピ</t>
    </rPh>
    <phoneticPr fontId="7"/>
  </si>
  <si>
    <t>ソロトワール</t>
    <phoneticPr fontId="7"/>
  </si>
  <si>
    <t>トゥーバトン</t>
    <phoneticPr fontId="7"/>
  </si>
  <si>
    <t>スリーバトン</t>
    <phoneticPr fontId="7"/>
  </si>
  <si>
    <t>ペア</t>
    <phoneticPr fontId="7"/>
  </si>
  <si>
    <t>ソロストラット</t>
    <phoneticPr fontId="7"/>
  </si>
  <si>
    <t>No</t>
    <phoneticPr fontId="7"/>
  </si>
  <si>
    <t>個コード</t>
    <rPh sb="0" eb="1">
      <t>コ</t>
    </rPh>
    <phoneticPr fontId="7"/>
  </si>
  <si>
    <t>ペアNo.</t>
    <phoneticPr fontId="4"/>
  </si>
  <si>
    <t>No.</t>
    <phoneticPr fontId="4"/>
  </si>
  <si>
    <t>ペアコード</t>
    <phoneticPr fontId="4"/>
  </si>
  <si>
    <t>1-1</t>
    <phoneticPr fontId="4"/>
  </si>
  <si>
    <t>1-2</t>
    <phoneticPr fontId="4"/>
  </si>
  <si>
    <t>2-1</t>
    <phoneticPr fontId="4"/>
  </si>
  <si>
    <t>2-2</t>
    <phoneticPr fontId="4"/>
  </si>
  <si>
    <t>3-1</t>
    <phoneticPr fontId="4"/>
  </si>
  <si>
    <t>3-2</t>
    <phoneticPr fontId="4"/>
  </si>
  <si>
    <t>4-1</t>
    <phoneticPr fontId="4"/>
  </si>
  <si>
    <t>4-2</t>
    <phoneticPr fontId="4"/>
  </si>
  <si>
    <t>5-1</t>
    <phoneticPr fontId="4"/>
  </si>
  <si>
    <t>5-2</t>
    <phoneticPr fontId="4"/>
  </si>
  <si>
    <t>6-1</t>
    <phoneticPr fontId="4"/>
  </si>
  <si>
    <t>6-2</t>
    <phoneticPr fontId="4"/>
  </si>
  <si>
    <t>7-1</t>
    <phoneticPr fontId="4"/>
  </si>
  <si>
    <t>7-2</t>
    <phoneticPr fontId="4"/>
  </si>
  <si>
    <t>8-1</t>
    <phoneticPr fontId="4"/>
  </si>
  <si>
    <t>8-2</t>
    <phoneticPr fontId="4"/>
  </si>
  <si>
    <t>9-1</t>
    <phoneticPr fontId="4"/>
  </si>
  <si>
    <t>9-2</t>
    <phoneticPr fontId="4"/>
  </si>
  <si>
    <t>10-1</t>
    <phoneticPr fontId="4"/>
  </si>
  <si>
    <t>10-2</t>
    <phoneticPr fontId="4"/>
  </si>
  <si>
    <t>11-1</t>
    <phoneticPr fontId="4"/>
  </si>
  <si>
    <t>11-2</t>
    <phoneticPr fontId="4"/>
  </si>
  <si>
    <t>12-1</t>
    <phoneticPr fontId="4"/>
  </si>
  <si>
    <t>12-2</t>
    <phoneticPr fontId="4"/>
  </si>
  <si>
    <t>13-1</t>
    <phoneticPr fontId="4"/>
  </si>
  <si>
    <t>13-2</t>
    <phoneticPr fontId="4"/>
  </si>
  <si>
    <t>14-1</t>
    <phoneticPr fontId="4"/>
  </si>
  <si>
    <t>14-2</t>
    <phoneticPr fontId="4"/>
  </si>
  <si>
    <t>15-1</t>
    <phoneticPr fontId="4"/>
  </si>
  <si>
    <t>15-2</t>
    <phoneticPr fontId="4"/>
  </si>
  <si>
    <t>16-1</t>
    <phoneticPr fontId="4"/>
  </si>
  <si>
    <t>16-2</t>
    <phoneticPr fontId="4"/>
  </si>
  <si>
    <t>17-1</t>
    <phoneticPr fontId="4"/>
  </si>
  <si>
    <t>17-2</t>
    <phoneticPr fontId="4"/>
  </si>
  <si>
    <t>18-1</t>
    <phoneticPr fontId="4"/>
  </si>
  <si>
    <t>18-2</t>
    <phoneticPr fontId="4"/>
  </si>
  <si>
    <t>19-1</t>
    <phoneticPr fontId="4"/>
  </si>
  <si>
    <t>19-2</t>
    <phoneticPr fontId="4"/>
  </si>
  <si>
    <t>20-1</t>
    <phoneticPr fontId="4"/>
  </si>
  <si>
    <t>20-2</t>
    <phoneticPr fontId="4"/>
  </si>
  <si>
    <t>21-1</t>
    <phoneticPr fontId="4"/>
  </si>
  <si>
    <t>21-2</t>
    <phoneticPr fontId="4"/>
  </si>
  <si>
    <t>22-1</t>
    <phoneticPr fontId="4"/>
  </si>
  <si>
    <t>22-2</t>
    <phoneticPr fontId="4"/>
  </si>
  <si>
    <t>23-1</t>
    <phoneticPr fontId="4"/>
  </si>
  <si>
    <t>23-2</t>
    <phoneticPr fontId="4"/>
  </si>
  <si>
    <t>24-1</t>
    <phoneticPr fontId="4"/>
  </si>
  <si>
    <t>24-2</t>
    <phoneticPr fontId="4"/>
  </si>
  <si>
    <t>25-1</t>
    <phoneticPr fontId="4"/>
  </si>
  <si>
    <t>25-2</t>
    <phoneticPr fontId="4"/>
  </si>
  <si>
    <t>26-1</t>
    <phoneticPr fontId="4"/>
  </si>
  <si>
    <t>26-2</t>
    <phoneticPr fontId="4"/>
  </si>
  <si>
    <t>27-1</t>
    <phoneticPr fontId="4"/>
  </si>
  <si>
    <t>27-2</t>
    <phoneticPr fontId="4"/>
  </si>
  <si>
    <t>28-1</t>
    <phoneticPr fontId="4"/>
  </si>
  <si>
    <t>28-2</t>
    <phoneticPr fontId="4"/>
  </si>
  <si>
    <t>29-1</t>
    <phoneticPr fontId="4"/>
  </si>
  <si>
    <t>29-2</t>
    <phoneticPr fontId="4"/>
  </si>
  <si>
    <t>30-1</t>
    <phoneticPr fontId="4"/>
  </si>
  <si>
    <t>30-2</t>
    <phoneticPr fontId="4"/>
  </si>
  <si>
    <t>＜規定演技＞</t>
    <rPh sb="1" eb="3">
      <t>キテイ</t>
    </rPh>
    <rPh sb="3" eb="5">
      <t>エンギ</t>
    </rPh>
    <phoneticPr fontId="4"/>
  </si>
  <si>
    <t>＜関東６種目＞</t>
    <rPh sb="1" eb="3">
      <t>カントウ</t>
    </rPh>
    <rPh sb="4" eb="6">
      <t>シュモク</t>
    </rPh>
    <phoneticPr fontId="4"/>
  </si>
  <si>
    <t>上級</t>
    <rPh sb="0" eb="2">
      <t>ジョウキュウ</t>
    </rPh>
    <phoneticPr fontId="7"/>
  </si>
  <si>
    <t>エントリー数合計</t>
    <rPh sb="5" eb="6">
      <t>スウ</t>
    </rPh>
    <rPh sb="6" eb="8">
      <t>ゴウケイ</t>
    </rPh>
    <phoneticPr fontId="4"/>
  </si>
  <si>
    <t>ダンストワール</t>
    <phoneticPr fontId="7"/>
  </si>
  <si>
    <t>ソロトワール</t>
    <phoneticPr fontId="4"/>
  </si>
  <si>
    <t>トゥーバトン</t>
    <phoneticPr fontId="4"/>
  </si>
  <si>
    <t>スリーバトン</t>
    <phoneticPr fontId="4"/>
  </si>
  <si>
    <t>選手権</t>
    <rPh sb="0" eb="3">
      <t>センシュケン</t>
    </rPh>
    <phoneticPr fontId="7"/>
  </si>
  <si>
    <t>規定</t>
    <rPh sb="0" eb="2">
      <t>キテイ</t>
    </rPh>
    <phoneticPr fontId="4"/>
  </si>
  <si>
    <t>6種目</t>
    <rPh sb="1" eb="3">
      <t>シュモク</t>
    </rPh>
    <phoneticPr fontId="7"/>
  </si>
  <si>
    <t>関東６種目　参加費</t>
    <rPh sb="0" eb="2">
      <t>カントウ</t>
    </rPh>
    <rPh sb="3" eb="5">
      <t>シュモク</t>
    </rPh>
    <rPh sb="6" eb="9">
      <t>サンカヒ</t>
    </rPh>
    <phoneticPr fontId="4"/>
  </si>
  <si>
    <t>6種目ペア</t>
    <rPh sb="1" eb="3">
      <t>シュモク</t>
    </rPh>
    <phoneticPr fontId="7"/>
  </si>
  <si>
    <t>選ペア</t>
    <rPh sb="0" eb="1">
      <t>セン</t>
    </rPh>
    <phoneticPr fontId="4"/>
  </si>
  <si>
    <t>=SUM(IF(ISERROR(AL9:AP9),0,(AL9:AP9)))</t>
    <phoneticPr fontId="4"/>
  </si>
  <si>
    <t>全国共通規定演技</t>
    <rPh sb="0" eb="2">
      <t>ゼンコク</t>
    </rPh>
    <rPh sb="2" eb="4">
      <t>キョウツウ</t>
    </rPh>
    <rPh sb="4" eb="6">
      <t>キテイ</t>
    </rPh>
    <rPh sb="6" eb="8">
      <t>エンギ</t>
    </rPh>
    <phoneticPr fontId="4"/>
  </si>
  <si>
    <t>=</t>
    <phoneticPr fontId="4"/>
  </si>
  <si>
    <t>=</t>
    <phoneticPr fontId="4"/>
  </si>
  <si>
    <t>=</t>
    <phoneticPr fontId="4"/>
  </si>
  <si>
    <t>×</t>
    <phoneticPr fontId="4"/>
  </si>
  <si>
    <t>=</t>
    <phoneticPr fontId="4"/>
  </si>
  <si>
    <t>×</t>
    <phoneticPr fontId="4"/>
  </si>
  <si>
    <t>=</t>
    <phoneticPr fontId="4"/>
  </si>
  <si>
    <t>×</t>
    <phoneticPr fontId="4"/>
  </si>
  <si>
    <t>=</t>
    <phoneticPr fontId="4"/>
  </si>
  <si>
    <t>×</t>
    <phoneticPr fontId="4"/>
  </si>
  <si>
    <t>=</t>
    <phoneticPr fontId="4"/>
  </si>
  <si>
    <t>×</t>
    <phoneticPr fontId="4"/>
  </si>
  <si>
    <t>小計①</t>
    <rPh sb="0" eb="2">
      <t>ショウケイ</t>
    </rPh>
    <phoneticPr fontId="4"/>
  </si>
  <si>
    <t>トゥーバトン</t>
    <phoneticPr fontId="4"/>
  </si>
  <si>
    <t>ダンストワール</t>
    <phoneticPr fontId="4"/>
  </si>
  <si>
    <t>ソロストラット</t>
    <phoneticPr fontId="4"/>
  </si>
  <si>
    <t>ペア</t>
    <phoneticPr fontId="4"/>
  </si>
  <si>
    <t>スリーバトン</t>
    <phoneticPr fontId="4"/>
  </si>
  <si>
    <t>６種目選手権</t>
    <rPh sb="1" eb="3">
      <t>シュモク</t>
    </rPh>
    <rPh sb="3" eb="6">
      <t>センシュケン</t>
    </rPh>
    <phoneticPr fontId="7"/>
  </si>
  <si>
    <t>ＴＥＬ</t>
    <phoneticPr fontId="4"/>
  </si>
  <si>
    <t>関東６種目</t>
    <rPh sb="0" eb="2">
      <t>カントウ</t>
    </rPh>
    <rPh sb="3" eb="5">
      <t>シュモク</t>
    </rPh>
    <phoneticPr fontId="4"/>
  </si>
  <si>
    <t>小計②</t>
    <rPh sb="0" eb="2">
      <t>ショウケイ</t>
    </rPh>
    <phoneticPr fontId="4"/>
  </si>
  <si>
    <t>※エントリー別人数表に基づき数字はすべて自動ででます。</t>
    <rPh sb="6" eb="7">
      <t>ベツ</t>
    </rPh>
    <rPh sb="7" eb="9">
      <t>ニンズウ</t>
    </rPh>
    <rPh sb="9" eb="10">
      <t>ヒョウ</t>
    </rPh>
    <rPh sb="11" eb="12">
      <t>モトヅ</t>
    </rPh>
    <rPh sb="14" eb="16">
      <t>スウジ</t>
    </rPh>
    <rPh sb="20" eb="22">
      <t>ジドウ</t>
    </rPh>
    <phoneticPr fontId="4"/>
  </si>
  <si>
    <t>大会連絡責任者名</t>
    <rPh sb="0" eb="2">
      <t>タイカイ</t>
    </rPh>
    <rPh sb="2" eb="4">
      <t>レンラク</t>
    </rPh>
    <rPh sb="4" eb="7">
      <t>セキニンシャ</t>
    </rPh>
    <rPh sb="7" eb="8">
      <t>メイ</t>
    </rPh>
    <phoneticPr fontId="4"/>
  </si>
  <si>
    <t>団体情報　入力欄</t>
    <rPh sb="0" eb="2">
      <t>ダンタイ</t>
    </rPh>
    <rPh sb="2" eb="4">
      <t>ジョウホウ</t>
    </rPh>
    <rPh sb="5" eb="7">
      <t>ニュウリョク</t>
    </rPh>
    <rPh sb="7" eb="8">
      <t>ラン</t>
    </rPh>
    <phoneticPr fontId="4"/>
  </si>
  <si>
    <t>★</t>
    <phoneticPr fontId="4"/>
  </si>
  <si>
    <t>下の事項を全て入力すること</t>
    <rPh sb="0" eb="1">
      <t>シタ</t>
    </rPh>
    <rPh sb="2" eb="4">
      <t>ジコウ</t>
    </rPh>
    <rPh sb="5" eb="6">
      <t>スベ</t>
    </rPh>
    <rPh sb="7" eb="9">
      <t>ニュウリョク</t>
    </rPh>
    <phoneticPr fontId="4"/>
  </si>
  <si>
    <t>所属都県</t>
    <rPh sb="0" eb="2">
      <t>ショゾク</t>
    </rPh>
    <rPh sb="2" eb="4">
      <t>トケン</t>
    </rPh>
    <phoneticPr fontId="4"/>
  </si>
  <si>
    <t>団体ID</t>
    <rPh sb="0" eb="2">
      <t>ダンタイ</t>
    </rPh>
    <phoneticPr fontId="4"/>
  </si>
  <si>
    <t>←申請中の場合は、『申請中』と入力</t>
    <rPh sb="1" eb="4">
      <t>シンセイチュウ</t>
    </rPh>
    <rPh sb="5" eb="7">
      <t>バアイ</t>
    </rPh>
    <rPh sb="10" eb="13">
      <t>シンセイチュウ</t>
    </rPh>
    <rPh sb="15" eb="17">
      <t>ニュウリョク</t>
    </rPh>
    <phoneticPr fontId="4"/>
  </si>
  <si>
    <t>団体代表者</t>
    <rPh sb="0" eb="2">
      <t>ダンタイ</t>
    </rPh>
    <rPh sb="2" eb="5">
      <t>ダイヒョウシャ</t>
    </rPh>
    <phoneticPr fontId="4"/>
  </si>
  <si>
    <t>〒</t>
    <phoneticPr fontId="4"/>
  </si>
  <si>
    <t>住所</t>
    <rPh sb="0" eb="2">
      <t>ジュウショ</t>
    </rPh>
    <phoneticPr fontId="4"/>
  </si>
  <si>
    <t>ＴＥＬ</t>
    <phoneticPr fontId="4"/>
  </si>
  <si>
    <t>ＦＡＸ</t>
    <phoneticPr fontId="4"/>
  </si>
  <si>
    <t>セット番号等
連絡ｍａｉｌアドレス</t>
    <rPh sb="3" eb="5">
      <t>バンゴウ</t>
    </rPh>
    <rPh sb="5" eb="6">
      <t>トウ</t>
    </rPh>
    <rPh sb="7" eb="9">
      <t>レンラク</t>
    </rPh>
    <phoneticPr fontId="4"/>
  </si>
  <si>
    <t>～入力の仕方～</t>
    <rPh sb="1" eb="3">
      <t>ニュウリョク</t>
    </rPh>
    <rPh sb="4" eb="6">
      <t>シカタ</t>
    </rPh>
    <phoneticPr fontId="4"/>
  </si>
  <si>
    <t>入力欄以外には入力出来ません。</t>
  </si>
  <si>
    <t>①</t>
    <phoneticPr fontId="4"/>
  </si>
  <si>
    <t>団体情報入力欄を入力してください。</t>
    <rPh sb="0" eb="4">
      <t>ダンタイジョウホウ</t>
    </rPh>
    <rPh sb="4" eb="6">
      <t>ニュウリョク</t>
    </rPh>
    <rPh sb="6" eb="7">
      <t>ラン</t>
    </rPh>
    <rPh sb="8" eb="10">
      <t>ニュウリョク</t>
    </rPh>
    <phoneticPr fontId="3"/>
  </si>
  <si>
    <t>申し込む種目を▼から選ぶ</t>
    <rPh sb="0" eb="1">
      <t>モウ</t>
    </rPh>
    <rPh sb="2" eb="3">
      <t>コ</t>
    </rPh>
    <rPh sb="4" eb="6">
      <t>シュモク</t>
    </rPh>
    <rPh sb="10" eb="11">
      <t>エラ</t>
    </rPh>
    <phoneticPr fontId="4"/>
  </si>
  <si>
    <t>★</t>
    <phoneticPr fontId="4"/>
  </si>
  <si>
    <t>セルの入力を消すときは、「ＤＥＬETE」か「ＢＡＣＫ　ＳＰＡＣＥ」を押してください。</t>
    <rPh sb="3" eb="5">
      <t>ニュウリョク</t>
    </rPh>
    <rPh sb="6" eb="7">
      <t>ケ</t>
    </rPh>
    <rPh sb="34" eb="35">
      <t>オ</t>
    </rPh>
    <phoneticPr fontId="4"/>
  </si>
  <si>
    <t>エントリー別人数表＆参加費申込書を必ず確認して、参加費をお支払いください。</t>
    <rPh sb="5" eb="6">
      <t>ベツ</t>
    </rPh>
    <rPh sb="6" eb="8">
      <t>ニンズウ</t>
    </rPh>
    <rPh sb="8" eb="9">
      <t>ヒョウ</t>
    </rPh>
    <rPh sb="10" eb="12">
      <t>サンカ</t>
    </rPh>
    <rPh sb="12" eb="13">
      <t>ヒ</t>
    </rPh>
    <rPh sb="13" eb="16">
      <t>モウシコミショ</t>
    </rPh>
    <rPh sb="17" eb="18">
      <t>カナラ</t>
    </rPh>
    <rPh sb="19" eb="21">
      <t>カクニン</t>
    </rPh>
    <rPh sb="24" eb="27">
      <t>サンカヒ</t>
    </rPh>
    <rPh sb="29" eb="31">
      <t>シハラ</t>
    </rPh>
    <phoneticPr fontId="4"/>
  </si>
  <si>
    <t>入力欄が足りない場合は、シートやセルを足したりせずに、新しい申込書に入力してください。</t>
    <rPh sb="0" eb="2">
      <t>ニュウリョク</t>
    </rPh>
    <rPh sb="2" eb="3">
      <t>ラン</t>
    </rPh>
    <rPh sb="4" eb="5">
      <t>タ</t>
    </rPh>
    <rPh sb="8" eb="10">
      <t>バアイ</t>
    </rPh>
    <rPh sb="19" eb="20">
      <t>タ</t>
    </rPh>
    <rPh sb="27" eb="28">
      <t>アタラ</t>
    </rPh>
    <rPh sb="30" eb="33">
      <t>モウシコミショ</t>
    </rPh>
    <rPh sb="34" eb="36">
      <t>ニュウリョク</t>
    </rPh>
    <phoneticPr fontId="4"/>
  </si>
  <si>
    <t>保存時に、ファイル名に団体名を追加し、選択肢が出てきたものは、『続行』・『はい』を選択してください。</t>
    <rPh sb="0" eb="2">
      <t>ホゾン</t>
    </rPh>
    <rPh sb="2" eb="3">
      <t>ジ</t>
    </rPh>
    <rPh sb="9" eb="10">
      <t>メイ</t>
    </rPh>
    <rPh sb="11" eb="13">
      <t>ダンタイ</t>
    </rPh>
    <rPh sb="13" eb="14">
      <t>メイ</t>
    </rPh>
    <rPh sb="15" eb="17">
      <t>ツイカ</t>
    </rPh>
    <rPh sb="19" eb="22">
      <t>センタクシ</t>
    </rPh>
    <rPh sb="23" eb="24">
      <t>デ</t>
    </rPh>
    <rPh sb="32" eb="34">
      <t>ゾッコウ</t>
    </rPh>
    <rPh sb="41" eb="43">
      <t>センタク</t>
    </rPh>
    <phoneticPr fontId="4"/>
  </si>
  <si>
    <t>◎</t>
    <phoneticPr fontId="4"/>
  </si>
  <si>
    <t>質問は、メールにてお願いいたします。（大会事務局アドレス等は実施要項に記載されています）</t>
    <rPh sb="0" eb="2">
      <t>シツモン</t>
    </rPh>
    <rPh sb="10" eb="11">
      <t>ネガ</t>
    </rPh>
    <rPh sb="19" eb="21">
      <t>タイカイ</t>
    </rPh>
    <rPh sb="21" eb="24">
      <t>ジムキョク</t>
    </rPh>
    <rPh sb="28" eb="29">
      <t>トウ</t>
    </rPh>
    <rPh sb="30" eb="32">
      <t>ジッシ</t>
    </rPh>
    <rPh sb="32" eb="34">
      <t>ヨウコウ</t>
    </rPh>
    <rPh sb="35" eb="37">
      <t>キサイ</t>
    </rPh>
    <phoneticPr fontId="4"/>
  </si>
  <si>
    <t>〆切に関しては送信の時にお知らせいたします。</t>
    <phoneticPr fontId="4"/>
  </si>
  <si>
    <t>以上宜しくお願い致します。</t>
    <phoneticPr fontId="4"/>
  </si>
  <si>
    <t>大会連絡責任者</t>
    <rPh sb="0" eb="2">
      <t>タイカイ</t>
    </rPh>
    <rPh sb="2" eb="4">
      <t>レンラク</t>
    </rPh>
    <rPh sb="4" eb="6">
      <t>セキニン</t>
    </rPh>
    <rPh sb="6" eb="7">
      <t>シャ</t>
    </rPh>
    <phoneticPr fontId="4"/>
  </si>
  <si>
    <t>大会連絡責任者
携帯番号</t>
    <rPh sb="0" eb="2">
      <t>タイカイ</t>
    </rPh>
    <rPh sb="2" eb="4">
      <t>レンラク</t>
    </rPh>
    <rPh sb="4" eb="7">
      <t>セキニンシャ</t>
    </rPh>
    <rPh sb="8" eb="10">
      <t>ケイタイ</t>
    </rPh>
    <rPh sb="10" eb="12">
      <t>バンゴウ</t>
    </rPh>
    <phoneticPr fontId="4"/>
  </si>
  <si>
    <t>大会連絡責任者携帯番号</t>
    <rPh sb="0" eb="2">
      <t>タイカイ</t>
    </rPh>
    <rPh sb="2" eb="4">
      <t>レンラク</t>
    </rPh>
    <rPh sb="4" eb="7">
      <t>セキニンシャ</t>
    </rPh>
    <rPh sb="7" eb="9">
      <t>ケイタイ</t>
    </rPh>
    <rPh sb="9" eb="11">
      <t>バンゴウ</t>
    </rPh>
    <phoneticPr fontId="4"/>
  </si>
  <si>
    <t>申し込み選手の情報は、入力シートの該当種目に入力してください。</t>
    <rPh sb="0" eb="1">
      <t>モウ</t>
    </rPh>
    <rPh sb="2" eb="3">
      <t>コ</t>
    </rPh>
    <rPh sb="4" eb="6">
      <t>センシュ</t>
    </rPh>
    <rPh sb="7" eb="9">
      <t>ジョウホウ</t>
    </rPh>
    <rPh sb="11" eb="13">
      <t>ニュウリョク</t>
    </rPh>
    <rPh sb="17" eb="19">
      <t>ガイトウ</t>
    </rPh>
    <rPh sb="19" eb="21">
      <t>シュモク</t>
    </rPh>
    <rPh sb="22" eb="24">
      <t>ニュウリョク</t>
    </rPh>
    <phoneticPr fontId="4"/>
  </si>
  <si>
    <t>入力シートに入力したもののみが、エントリー別人数表に反映されるため、漏れの無いよう注意してください。</t>
    <rPh sb="0" eb="2">
      <t>ニュウリョク</t>
    </rPh>
    <rPh sb="6" eb="8">
      <t>ニュウリョク</t>
    </rPh>
    <rPh sb="21" eb="25">
      <t>ベツニンズウヒョウ</t>
    </rPh>
    <rPh sb="26" eb="28">
      <t>ハンエイ</t>
    </rPh>
    <rPh sb="34" eb="35">
      <t>モ</t>
    </rPh>
    <rPh sb="37" eb="38">
      <t>ナ</t>
    </rPh>
    <rPh sb="41" eb="43">
      <t>チュウイ</t>
    </rPh>
    <phoneticPr fontId="4"/>
  </si>
  <si>
    <t>その際、２行目の名前欄に『重複』と入力してください。自動で赤字になり、Ｎｏ．の反映はされません。</t>
    <rPh sb="2" eb="3">
      <t>サイ</t>
    </rPh>
    <rPh sb="5" eb="7">
      <t>ギョウメ</t>
    </rPh>
    <rPh sb="8" eb="10">
      <t>ナマエ</t>
    </rPh>
    <rPh sb="10" eb="11">
      <t>ラン</t>
    </rPh>
    <rPh sb="13" eb="15">
      <t>チョウフク</t>
    </rPh>
    <rPh sb="17" eb="19">
      <t>ニュウリョク</t>
    </rPh>
    <rPh sb="26" eb="28">
      <t>ジドウ</t>
    </rPh>
    <rPh sb="29" eb="31">
      <t>アカジ</t>
    </rPh>
    <rPh sb="39" eb="41">
      <t>ハンエイ</t>
    </rPh>
    <phoneticPr fontId="4"/>
  </si>
  <si>
    <t>ペア１組目の１人目を1-1、２人目は1-2と入力して下さい。２組目の１人目は2-1、２人目は2-2とする。</t>
    <rPh sb="3" eb="4">
      <t>クミ</t>
    </rPh>
    <rPh sb="4" eb="5">
      <t>メ</t>
    </rPh>
    <rPh sb="31" eb="32">
      <t>クミ</t>
    </rPh>
    <rPh sb="32" eb="33">
      <t>メ</t>
    </rPh>
    <rPh sb="35" eb="36">
      <t>ニン</t>
    </rPh>
    <rPh sb="36" eb="37">
      <t>メ</t>
    </rPh>
    <rPh sb="43" eb="44">
      <t>ニン</t>
    </rPh>
    <rPh sb="44" eb="45">
      <t>メ</t>
    </rPh>
    <phoneticPr fontId="4"/>
  </si>
  <si>
    <r>
      <t>ペアに申込みがある選手は、選択欄の右に半角数字で以下のように</t>
    </r>
    <r>
      <rPr>
        <sz val="11"/>
        <rFont val="ＭＳ Ｐゴシック"/>
        <family val="3"/>
        <charset val="128"/>
      </rPr>
      <t>番号を入れてください。</t>
    </r>
    <rPh sb="3" eb="5">
      <t>モウシコミ</t>
    </rPh>
    <rPh sb="9" eb="11">
      <t>センシュ</t>
    </rPh>
    <rPh sb="13" eb="15">
      <t>センタク</t>
    </rPh>
    <rPh sb="15" eb="16">
      <t>ラン</t>
    </rPh>
    <rPh sb="17" eb="18">
      <t>ミギ</t>
    </rPh>
    <rPh sb="19" eb="21">
      <t>ハンカク</t>
    </rPh>
    <rPh sb="21" eb="23">
      <t>スウジ</t>
    </rPh>
    <rPh sb="24" eb="26">
      <t>イカ</t>
    </rPh>
    <rPh sb="30" eb="32">
      <t>バンゴウ</t>
    </rPh>
    <rPh sb="33" eb="34">
      <t>イ</t>
    </rPh>
    <phoneticPr fontId="4"/>
  </si>
  <si>
    <t>関東６種目において、１人の選手が同種目で複数の級を申込む場合は、複数行を使い入力してください。</t>
    <rPh sb="0" eb="2">
      <t>カントウ</t>
    </rPh>
    <rPh sb="3" eb="5">
      <t>シュモク</t>
    </rPh>
    <rPh sb="11" eb="12">
      <t>ニン</t>
    </rPh>
    <rPh sb="13" eb="15">
      <t>センシュ</t>
    </rPh>
    <rPh sb="16" eb="17">
      <t>ドウ</t>
    </rPh>
    <rPh sb="17" eb="19">
      <t>シュモク</t>
    </rPh>
    <rPh sb="20" eb="22">
      <t>フクスウ</t>
    </rPh>
    <rPh sb="23" eb="24">
      <t>キュウ</t>
    </rPh>
    <rPh sb="25" eb="27">
      <t>モウシコ</t>
    </rPh>
    <rPh sb="28" eb="30">
      <t>バアイ</t>
    </rPh>
    <rPh sb="32" eb="34">
      <t>フクスウ</t>
    </rPh>
    <rPh sb="34" eb="35">
      <t>ギョウ</t>
    </rPh>
    <rPh sb="36" eb="37">
      <t>ツカ</t>
    </rPh>
    <rPh sb="38" eb="40">
      <t>ニュウリョク</t>
    </rPh>
    <phoneticPr fontId="4"/>
  </si>
  <si>
    <t>②</t>
    <phoneticPr fontId="7"/>
  </si>
  <si>
    <t>③</t>
    <phoneticPr fontId="4"/>
  </si>
  <si>
    <t>④</t>
    <phoneticPr fontId="4"/>
  </si>
  <si>
    <t>⑤</t>
    <phoneticPr fontId="4"/>
  </si>
  <si>
    <t>⑦</t>
    <phoneticPr fontId="4"/>
  </si>
  <si>
    <t>大会連絡
責任者氏名</t>
    <rPh sb="0" eb="2">
      <t>タイカイ</t>
    </rPh>
    <rPh sb="2" eb="4">
      <t>レンラク</t>
    </rPh>
    <rPh sb="5" eb="8">
      <t>セキニンシャ</t>
    </rPh>
    <rPh sb="8" eb="10">
      <t>シメイ</t>
    </rPh>
    <phoneticPr fontId="4"/>
  </si>
  <si>
    <t>大会連絡
責任者携帯番号</t>
    <rPh sb="0" eb="2">
      <t>タイカイ</t>
    </rPh>
    <rPh sb="2" eb="4">
      <t>レンラク</t>
    </rPh>
    <rPh sb="5" eb="8">
      <t>セキニンシャ</t>
    </rPh>
    <rPh sb="8" eb="10">
      <t>ケイタイ</t>
    </rPh>
    <rPh sb="10" eb="12">
      <t>バンゴウ</t>
    </rPh>
    <phoneticPr fontId="4"/>
  </si>
  <si>
    <t>ダンストワール</t>
    <phoneticPr fontId="4"/>
  </si>
  <si>
    <t>ソロストラット</t>
    <phoneticPr fontId="4"/>
  </si>
  <si>
    <t>×</t>
    <phoneticPr fontId="4"/>
  </si>
  <si>
    <t>=</t>
    <phoneticPr fontId="4"/>
  </si>
  <si>
    <t>ソロトワール</t>
    <phoneticPr fontId="7"/>
  </si>
  <si>
    <t>１人１行とします。⑥の場合は、複数行を使用してください。</t>
    <rPh sb="1" eb="2">
      <t>ニン</t>
    </rPh>
    <rPh sb="3" eb="4">
      <t>ギョウ</t>
    </rPh>
    <rPh sb="11" eb="13">
      <t>バアイ</t>
    </rPh>
    <rPh sb="15" eb="18">
      <t>フクスウギョウ</t>
    </rPh>
    <rPh sb="19" eb="21">
      <t>シヨウ</t>
    </rPh>
    <phoneticPr fontId="7"/>
  </si>
  <si>
    <t>申込書の受付連絡はいたしませんので、受付確認をしたい方は、メールの開封確認を設定するなどしてください。</t>
    <rPh sb="0" eb="2">
      <t>モウシコミ</t>
    </rPh>
    <rPh sb="2" eb="3">
      <t>ショ</t>
    </rPh>
    <rPh sb="4" eb="6">
      <t>ウケツケ</t>
    </rPh>
    <rPh sb="6" eb="8">
      <t>レンラク</t>
    </rPh>
    <rPh sb="18" eb="20">
      <t>ウケツケ</t>
    </rPh>
    <rPh sb="20" eb="22">
      <t>カクニン</t>
    </rPh>
    <rPh sb="26" eb="27">
      <t>カタ</t>
    </rPh>
    <rPh sb="33" eb="35">
      <t>カイフウ</t>
    </rPh>
    <rPh sb="35" eb="37">
      <t>カクニン</t>
    </rPh>
    <rPh sb="38" eb="40">
      <t>セッテイ</t>
    </rPh>
    <phoneticPr fontId="7"/>
  </si>
  <si>
    <t>選手権</t>
    <rPh sb="0" eb="3">
      <t>センシュケン</t>
    </rPh>
    <phoneticPr fontId="7"/>
  </si>
  <si>
    <t>上級</t>
    <rPh sb="0" eb="2">
      <t>ジョウキュウ</t>
    </rPh>
    <phoneticPr fontId="7"/>
  </si>
  <si>
    <t>2-1</t>
    <phoneticPr fontId="7"/>
  </si>
  <si>
    <t>2-2</t>
    <phoneticPr fontId="7"/>
  </si>
  <si>
    <t>区分</t>
    <rPh sb="0" eb="2">
      <t>クブン</t>
    </rPh>
    <phoneticPr fontId="4"/>
  </si>
  <si>
    <t>06</t>
    <phoneticPr fontId="4"/>
  </si>
  <si>
    <t>09</t>
    <phoneticPr fontId="4"/>
  </si>
  <si>
    <t>６種目</t>
    <rPh sb="1" eb="3">
      <t>シュモク</t>
    </rPh>
    <phoneticPr fontId="4"/>
  </si>
  <si>
    <t>選手権複数種目</t>
    <rPh sb="0" eb="3">
      <t>センシュケン</t>
    </rPh>
    <rPh sb="3" eb="5">
      <t>フクスウ</t>
    </rPh>
    <rPh sb="5" eb="7">
      <t>シュモク</t>
    </rPh>
    <phoneticPr fontId="4"/>
  </si>
  <si>
    <t>＜選手権＞</t>
    <rPh sb="1" eb="4">
      <t>センシュケン</t>
    </rPh>
    <phoneticPr fontId="4"/>
  </si>
  <si>
    <t>ふりがな</t>
    <phoneticPr fontId="4"/>
  </si>
  <si>
    <t>かんとう　はなこ</t>
    <phoneticPr fontId="4"/>
  </si>
  <si>
    <t>かんとう　のぞみ</t>
    <phoneticPr fontId="4"/>
  </si>
  <si>
    <t>かんとう　けんた</t>
    <phoneticPr fontId="4"/>
  </si>
  <si>
    <t>かんとう　たろう</t>
    <phoneticPr fontId="4"/>
  </si>
  <si>
    <t>規定参加費</t>
    <rPh sb="0" eb="2">
      <t>キテイ</t>
    </rPh>
    <rPh sb="2" eb="5">
      <t>サンカヒ</t>
    </rPh>
    <phoneticPr fontId="4"/>
  </si>
  <si>
    <t>オープン参加費</t>
    <rPh sb="4" eb="7">
      <t>サンカヒ</t>
    </rPh>
    <phoneticPr fontId="4"/>
  </si>
  <si>
    <t>ペア以外</t>
    <rPh sb="2" eb="4">
      <t>イガイ</t>
    </rPh>
    <phoneticPr fontId="4"/>
  </si>
  <si>
    <t>ペア1人当たり</t>
    <rPh sb="3" eb="4">
      <t>ニン</t>
    </rPh>
    <rPh sb="4" eb="5">
      <t>ア</t>
    </rPh>
    <phoneticPr fontId="4"/>
  </si>
  <si>
    <t>AT</t>
    <phoneticPr fontId="4"/>
  </si>
  <si>
    <t>AP</t>
    <phoneticPr fontId="4"/>
  </si>
  <si>
    <t>ペア</t>
    <phoneticPr fontId="4"/>
  </si>
  <si>
    <t>ペア</t>
    <phoneticPr fontId="4"/>
  </si>
  <si>
    <t>選手権　参加費</t>
    <rPh sb="0" eb="3">
      <t>センシュケン</t>
    </rPh>
    <rPh sb="4" eb="7">
      <t>サンカヒ</t>
    </rPh>
    <phoneticPr fontId="4"/>
  </si>
  <si>
    <t>生年月日は半角で「例：1900/1/1」の様に入力してください。自動で「1900年1月1日」と表示されます。</t>
    <rPh sb="0" eb="2">
      <t>セイネン</t>
    </rPh>
    <rPh sb="2" eb="4">
      <t>ガッピ</t>
    </rPh>
    <rPh sb="5" eb="7">
      <t>ハンカク</t>
    </rPh>
    <rPh sb="9" eb="10">
      <t>レイ</t>
    </rPh>
    <rPh sb="21" eb="22">
      <t>ヨウ</t>
    </rPh>
    <rPh sb="23" eb="25">
      <t>ニュウリョク</t>
    </rPh>
    <rPh sb="32" eb="34">
      <t>ジドウ</t>
    </rPh>
    <rPh sb="40" eb="41">
      <t>ネン</t>
    </rPh>
    <rPh sb="42" eb="43">
      <t>ガツ</t>
    </rPh>
    <rPh sb="44" eb="45">
      <t>ニチ</t>
    </rPh>
    <rPh sb="47" eb="49">
      <t>ヒョウジ</t>
    </rPh>
    <phoneticPr fontId="7"/>
  </si>
  <si>
    <t>S-N-06</t>
    <phoneticPr fontId="4"/>
  </si>
  <si>
    <t>S-N-09</t>
    <phoneticPr fontId="4"/>
  </si>
  <si>
    <t>S-N-12</t>
    <phoneticPr fontId="4"/>
  </si>
  <si>
    <t>S-N-15</t>
    <phoneticPr fontId="4"/>
  </si>
  <si>
    <t>S-N-18</t>
    <phoneticPr fontId="4"/>
  </si>
  <si>
    <t>S-N-19</t>
  </si>
  <si>
    <t>S-B-06</t>
  </si>
  <si>
    <t>S-B-09</t>
  </si>
  <si>
    <t>S-B-12</t>
  </si>
  <si>
    <t>S-B-15</t>
  </si>
  <si>
    <t>S-B-18</t>
  </si>
  <si>
    <t>S-B-19</t>
  </si>
  <si>
    <t>S-I-06</t>
  </si>
  <si>
    <t>S-I-09</t>
  </si>
  <si>
    <t>S-I-12</t>
  </si>
  <si>
    <t>S-I-15</t>
  </si>
  <si>
    <t>S-I-18</t>
  </si>
  <si>
    <t>S-I-19</t>
  </si>
  <si>
    <t>S-A-06</t>
  </si>
  <si>
    <t>S-A-09</t>
  </si>
  <si>
    <t>S-A-12</t>
  </si>
  <si>
    <t>S-A-15</t>
  </si>
  <si>
    <t>S-A-18</t>
  </si>
  <si>
    <t>S-A-19</t>
  </si>
  <si>
    <t>2B-B-12</t>
  </si>
  <si>
    <t>2B-I-12</t>
  </si>
  <si>
    <t>2B-A-12</t>
  </si>
  <si>
    <t>2B-B-15</t>
  </si>
  <si>
    <t>2B-I-15</t>
  </si>
  <si>
    <t>2B-A-15</t>
  </si>
  <si>
    <t>2B-B-18</t>
  </si>
  <si>
    <t>2B-I-18</t>
  </si>
  <si>
    <t>2B-A-18</t>
  </si>
  <si>
    <t>2B-B-19</t>
  </si>
  <si>
    <t>2B-I-19</t>
  </si>
  <si>
    <t>2B-A-19</t>
  </si>
  <si>
    <t>3B-B-12</t>
  </si>
  <si>
    <t>3B-A-12</t>
  </si>
  <si>
    <t>3B-B-15</t>
  </si>
  <si>
    <t>3B-A-15</t>
  </si>
  <si>
    <t>3B-B-18</t>
  </si>
  <si>
    <t>3B-A-18</t>
  </si>
  <si>
    <t>3B-B-19</t>
  </si>
  <si>
    <t>3B-A-19</t>
  </si>
  <si>
    <t>P-B-12</t>
  </si>
  <si>
    <t>P-I-12</t>
  </si>
  <si>
    <t>P-A-12</t>
  </si>
  <si>
    <t>P-B-15</t>
  </si>
  <si>
    <t>P-I-15</t>
  </si>
  <si>
    <t>P-A-15</t>
  </si>
  <si>
    <t>P-B-18</t>
  </si>
  <si>
    <t>P-I-18</t>
  </si>
  <si>
    <t>P-A-18</t>
  </si>
  <si>
    <t>P-B-19</t>
  </si>
  <si>
    <t>P-I-19</t>
  </si>
  <si>
    <t>P-A-19</t>
  </si>
  <si>
    <t>SS-B-12</t>
  </si>
  <si>
    <t>SS-I-12</t>
  </si>
  <si>
    <t>SS-A-12</t>
  </si>
  <si>
    <t>SS-B-15</t>
  </si>
  <si>
    <t>SS-I-15</t>
  </si>
  <si>
    <t>SS-A-15</t>
  </si>
  <si>
    <t>SS-B-18</t>
  </si>
  <si>
    <t>SS-I-18</t>
  </si>
  <si>
    <t>SS-A-18</t>
  </si>
  <si>
    <t>SS-B-19</t>
  </si>
  <si>
    <t>SS-I-19</t>
  </si>
  <si>
    <t>SS-A-19</t>
  </si>
  <si>
    <t>D-B-12</t>
  </si>
  <si>
    <t>D-I-12</t>
  </si>
  <si>
    <t>D-A-12</t>
  </si>
  <si>
    <t>D-B-15</t>
  </si>
  <si>
    <t>D-I-15</t>
  </si>
  <si>
    <t>D-A-15</t>
  </si>
  <si>
    <t>D-B-18</t>
  </si>
  <si>
    <t>D-I-18</t>
  </si>
  <si>
    <t>D-A-18</t>
  </si>
  <si>
    <t>D-B-19</t>
  </si>
  <si>
    <t>D-I-19</t>
  </si>
  <si>
    <t>D-A-19</t>
  </si>
  <si>
    <t>年齢区分</t>
    <rPh sb="0" eb="2">
      <t>ネンレイ</t>
    </rPh>
    <rPh sb="2" eb="4">
      <t>クブン</t>
    </rPh>
    <phoneticPr fontId="3"/>
  </si>
  <si>
    <t>選手権</t>
    <rPh sb="0" eb="3">
      <t>センシュケン</t>
    </rPh>
    <phoneticPr fontId="7"/>
  </si>
  <si>
    <t>R-N-6</t>
  </si>
  <si>
    <t>R-N-9</t>
  </si>
  <si>
    <t>R-N-12</t>
  </si>
  <si>
    <t>R-N-15</t>
  </si>
  <si>
    <t>R-N-18</t>
  </si>
  <si>
    <t>R-N-19</t>
  </si>
  <si>
    <t>男子</t>
    <rPh sb="0" eb="2">
      <t>ダンシ</t>
    </rPh>
    <phoneticPr fontId="4"/>
  </si>
  <si>
    <t>S-N-06</t>
  </si>
  <si>
    <t>S-N-09</t>
  </si>
  <si>
    <t>S-N-12</t>
  </si>
  <si>
    <t>S-N-15</t>
  </si>
  <si>
    <t>S-N-18</t>
  </si>
  <si>
    <t>映像二次使用について</t>
    <rPh sb="0" eb="2">
      <t>エイゾウ</t>
    </rPh>
    <rPh sb="2" eb="4">
      <t>ニジ</t>
    </rPh>
    <rPh sb="4" eb="6">
      <t>シヨウ</t>
    </rPh>
    <phoneticPr fontId="7"/>
  </si>
  <si>
    <t>規　PP中級</t>
    <rPh sb="0" eb="1">
      <t>キ</t>
    </rPh>
    <rPh sb="4" eb="6">
      <t>チュウキュウ</t>
    </rPh>
    <phoneticPr fontId="7"/>
  </si>
  <si>
    <t>PP-I-6</t>
  </si>
  <si>
    <t>PP-I-9</t>
  </si>
  <si>
    <t>PP-I-12</t>
  </si>
  <si>
    <t>PP-I-15</t>
  </si>
  <si>
    <t>PP-I-18</t>
  </si>
  <si>
    <t>PP-I-19</t>
  </si>
  <si>
    <t>○</t>
  </si>
  <si>
    <t>○</t>
    <phoneticPr fontId="7"/>
  </si>
  <si>
    <t>⑥</t>
    <phoneticPr fontId="4"/>
  </si>
  <si>
    <t>フリガナ・生年月日は空欄のままにしてください。</t>
    <rPh sb="5" eb="7">
      <t>セイネン</t>
    </rPh>
    <rPh sb="7" eb="9">
      <t>ガッピ</t>
    </rPh>
    <rPh sb="10" eb="12">
      <t>クウラン</t>
    </rPh>
    <phoneticPr fontId="7"/>
  </si>
  <si>
    <t>参加申込に関するすべての書類は、本大会の運営以外で使用することはありません。本大会終了後は直ちに破棄させていただきます。</t>
    <rPh sb="0" eb="2">
      <t>サンカ</t>
    </rPh>
    <rPh sb="2" eb="4">
      <t>モウシコミ</t>
    </rPh>
    <rPh sb="5" eb="6">
      <t>カン</t>
    </rPh>
    <rPh sb="12" eb="14">
      <t>ショルイ</t>
    </rPh>
    <rPh sb="16" eb="19">
      <t>ホンタイカイ</t>
    </rPh>
    <rPh sb="20" eb="22">
      <t>ウンエイ</t>
    </rPh>
    <rPh sb="22" eb="24">
      <t>イガイ</t>
    </rPh>
    <rPh sb="25" eb="27">
      <t>シヨウ</t>
    </rPh>
    <rPh sb="38" eb="41">
      <t>ホンタイカイ</t>
    </rPh>
    <rPh sb="41" eb="44">
      <t>シュウリョウゴ</t>
    </rPh>
    <rPh sb="45" eb="46">
      <t>タダ</t>
    </rPh>
    <rPh sb="48" eb="50">
      <t>ハキ</t>
    </rPh>
    <phoneticPr fontId="4"/>
  </si>
  <si>
    <t>会員番号</t>
    <rPh sb="0" eb="2">
      <t>カイイン</t>
    </rPh>
    <rPh sb="2" eb="4">
      <t>バンゴウ</t>
    </rPh>
    <phoneticPr fontId="3"/>
  </si>
  <si>
    <t>000△△△△</t>
    <phoneticPr fontId="3"/>
  </si>
  <si>
    <t>会員番号・氏名・ふりがな・生年月日を入力してください。</t>
    <rPh sb="0" eb="4">
      <t>カイインバンゴウ</t>
    </rPh>
    <rPh sb="5" eb="7">
      <t>シメイ</t>
    </rPh>
    <rPh sb="13" eb="15">
      <t>セイネン</t>
    </rPh>
    <rPh sb="15" eb="17">
      <t>ガッピ</t>
    </rPh>
    <rPh sb="18" eb="20">
      <t>ニュウリョク</t>
    </rPh>
    <phoneticPr fontId="4"/>
  </si>
  <si>
    <t>会員申請中の場合は、会員番号欄に「申請中」と入力してください。</t>
    <rPh sb="0" eb="2">
      <t>カイイン</t>
    </rPh>
    <rPh sb="2" eb="5">
      <t>シンセイチュウ</t>
    </rPh>
    <rPh sb="6" eb="8">
      <t>バアイ</t>
    </rPh>
    <rPh sb="10" eb="12">
      <t>カイイン</t>
    </rPh>
    <rPh sb="12" eb="14">
      <t>バンゴウ</t>
    </rPh>
    <rPh sb="14" eb="15">
      <t>ラン</t>
    </rPh>
    <rPh sb="17" eb="20">
      <t>シンセイチュウ</t>
    </rPh>
    <rPh sb="22" eb="24">
      <t>ニュウリョク</t>
    </rPh>
    <phoneticPr fontId="3"/>
  </si>
  <si>
    <t>合計金額をよく確認してお振込み下さい。</t>
    <rPh sb="0" eb="2">
      <t>ゴウケイ</t>
    </rPh>
    <rPh sb="2" eb="3">
      <t>キン</t>
    </rPh>
    <rPh sb="3" eb="4">
      <t>ガク</t>
    </rPh>
    <rPh sb="7" eb="9">
      <t>カクニン</t>
    </rPh>
    <rPh sb="12" eb="14">
      <t>フリコ</t>
    </rPh>
    <rPh sb="15" eb="16">
      <t>クダ</t>
    </rPh>
    <phoneticPr fontId="3"/>
  </si>
  <si>
    <t>1人　2500</t>
    <rPh sb="1" eb="2">
      <t>ニン</t>
    </rPh>
    <phoneticPr fontId="4"/>
  </si>
  <si>
    <t>2B-B-9</t>
    <phoneticPr fontId="4"/>
  </si>
  <si>
    <t>2B-I-9</t>
  </si>
  <si>
    <t>2B-A-9</t>
  </si>
  <si>
    <t>3B-B-9</t>
  </si>
  <si>
    <t>3B-A-9</t>
  </si>
  <si>
    <t>SS-B-9</t>
  </si>
  <si>
    <t>SS-I-9</t>
  </si>
  <si>
    <t>SS-A-9</t>
  </si>
  <si>
    <t>D-B-9</t>
  </si>
  <si>
    <t>D-I-9</t>
  </si>
  <si>
    <t>D-A-9</t>
  </si>
  <si>
    <t>シリアル値</t>
    <rPh sb="4" eb="5">
      <t>チ</t>
    </rPh>
    <phoneticPr fontId="7"/>
  </si>
  <si>
    <t>全国共通規定演技</t>
    <rPh sb="0" eb="2">
      <t>ゼンコク</t>
    </rPh>
    <rPh sb="2" eb="4">
      <t>キョウツウ</t>
    </rPh>
    <rPh sb="4" eb="6">
      <t>キテイ</t>
    </rPh>
    <rPh sb="6" eb="8">
      <t>エンギ</t>
    </rPh>
    <phoneticPr fontId="3"/>
  </si>
  <si>
    <t>バトン</t>
    <phoneticPr fontId="3"/>
  </si>
  <si>
    <t>ポンポン</t>
    <phoneticPr fontId="3"/>
  </si>
  <si>
    <t>入門</t>
    <rPh sb="0" eb="2">
      <t>ニュウモン</t>
    </rPh>
    <phoneticPr fontId="3"/>
  </si>
  <si>
    <t>初級</t>
    <rPh sb="0" eb="2">
      <t>ショキュウ</t>
    </rPh>
    <phoneticPr fontId="3"/>
  </si>
  <si>
    <t>中級</t>
    <rPh sb="0" eb="2">
      <t>チュウキュウ</t>
    </rPh>
    <phoneticPr fontId="3"/>
  </si>
  <si>
    <t>上級</t>
    <rPh sb="0" eb="2">
      <t>ジョウキュウ</t>
    </rPh>
    <phoneticPr fontId="3"/>
  </si>
  <si>
    <t>シリアル値</t>
    <rPh sb="4" eb="5">
      <t>チ</t>
    </rPh>
    <phoneticPr fontId="4"/>
  </si>
  <si>
    <t>コード</t>
    <phoneticPr fontId="4"/>
  </si>
  <si>
    <t>ソロトワール女子</t>
    <rPh sb="6" eb="8">
      <t>ジョシ</t>
    </rPh>
    <phoneticPr fontId="4"/>
  </si>
  <si>
    <t>ソロトワール男子</t>
    <rPh sb="6" eb="8">
      <t>ダンシ</t>
    </rPh>
    <phoneticPr fontId="4"/>
  </si>
  <si>
    <t>トゥーバトン女子</t>
    <rPh sb="6" eb="8">
      <t>ジョシ</t>
    </rPh>
    <phoneticPr fontId="4"/>
  </si>
  <si>
    <t>トゥーバトン男子</t>
    <rPh sb="6" eb="8">
      <t>ダンシ</t>
    </rPh>
    <phoneticPr fontId="4"/>
  </si>
  <si>
    <t>スリーバトン女子</t>
    <rPh sb="6" eb="8">
      <t>ジョシ</t>
    </rPh>
    <phoneticPr fontId="4"/>
  </si>
  <si>
    <t>スリーバトン男子</t>
    <rPh sb="6" eb="8">
      <t>ダンシ</t>
    </rPh>
    <phoneticPr fontId="4"/>
  </si>
  <si>
    <t>ペア</t>
    <phoneticPr fontId="4"/>
  </si>
  <si>
    <t>ソロストラット</t>
    <phoneticPr fontId="4"/>
  </si>
  <si>
    <t>ダンストワール</t>
    <phoneticPr fontId="4"/>
  </si>
  <si>
    <t>表記</t>
    <rPh sb="0" eb="2">
      <t>ヒョウキ</t>
    </rPh>
    <phoneticPr fontId="4"/>
  </si>
  <si>
    <t>男子Jr</t>
    <rPh sb="0" eb="2">
      <t>ダンシ</t>
    </rPh>
    <phoneticPr fontId="4"/>
  </si>
  <si>
    <t>男子Sr</t>
    <rPh sb="0" eb="2">
      <t>ダンシ</t>
    </rPh>
    <phoneticPr fontId="4"/>
  </si>
  <si>
    <t>Jr</t>
    <phoneticPr fontId="4"/>
  </si>
  <si>
    <t>Sr</t>
    <phoneticPr fontId="4"/>
  </si>
  <si>
    <t>M2</t>
  </si>
  <si>
    <t>M3</t>
  </si>
  <si>
    <t>M4</t>
  </si>
  <si>
    <t>M5</t>
  </si>
  <si>
    <t>M6</t>
  </si>
  <si>
    <t>検索値</t>
    <rPh sb="0" eb="2">
      <t>ケンサク</t>
    </rPh>
    <rPh sb="2" eb="3">
      <t>チ</t>
    </rPh>
    <phoneticPr fontId="7"/>
  </si>
  <si>
    <t>選区分</t>
    <rPh sb="0" eb="1">
      <t>セン</t>
    </rPh>
    <rPh sb="1" eb="3">
      <t>クブン</t>
    </rPh>
    <phoneticPr fontId="7"/>
  </si>
  <si>
    <t>○を付ける</t>
    <rPh sb="2" eb="3">
      <t>ツ</t>
    </rPh>
    <phoneticPr fontId="7"/>
  </si>
  <si>
    <t>選手権申込者は必須</t>
    <rPh sb="0" eb="3">
      <t>センシュケン</t>
    </rPh>
    <rPh sb="3" eb="5">
      <t>モウシコミ</t>
    </rPh>
    <rPh sb="5" eb="6">
      <t>シャ</t>
    </rPh>
    <rPh sb="7" eb="9">
      <t>ヒッス</t>
    </rPh>
    <phoneticPr fontId="7"/>
  </si>
  <si>
    <t>男女</t>
    <rPh sb="0" eb="2">
      <t>ダンジョ</t>
    </rPh>
    <phoneticPr fontId="7"/>
  </si>
  <si>
    <t>PP初級</t>
    <rPh sb="2" eb="4">
      <t>ショキュウ</t>
    </rPh>
    <phoneticPr fontId="3"/>
  </si>
  <si>
    <t>PP中級</t>
    <rPh sb="2" eb="4">
      <t>チュウキュウ</t>
    </rPh>
    <phoneticPr fontId="3"/>
  </si>
  <si>
    <t>規定演技</t>
    <rPh sb="0" eb="2">
      <t>キテイ</t>
    </rPh>
    <rPh sb="2" eb="4">
      <t>エンギ</t>
    </rPh>
    <phoneticPr fontId="7"/>
  </si>
  <si>
    <t>未就学は、グレーとなっている部門は申込出来ません。</t>
    <rPh sb="0" eb="3">
      <t>ミシュウガク</t>
    </rPh>
    <rPh sb="14" eb="16">
      <t>ブモン</t>
    </rPh>
    <rPh sb="17" eb="19">
      <t>モウシコミ</t>
    </rPh>
    <rPh sb="19" eb="21">
      <t>デキ</t>
    </rPh>
    <phoneticPr fontId="4"/>
  </si>
  <si>
    <t>関東６種目は全グレードを通しての番号をつけてください。</t>
    <rPh sb="0" eb="2">
      <t>カントウ</t>
    </rPh>
    <rPh sb="3" eb="5">
      <t>シュモク</t>
    </rPh>
    <rPh sb="6" eb="7">
      <t>ゼン</t>
    </rPh>
    <rPh sb="12" eb="13">
      <t>トオ</t>
    </rPh>
    <rPh sb="16" eb="18">
      <t>バンゴウ</t>
    </rPh>
    <phoneticPr fontId="3"/>
  </si>
  <si>
    <t>連絡メールアドレスへエントリー一覧（セット番号表）をメールにて送信しますので各団体で訂正がないかどうかを確認の上、事務局まで返信をお願いいたします。</t>
    <rPh sb="0" eb="2">
      <t>レンラク</t>
    </rPh>
    <phoneticPr fontId="4"/>
  </si>
  <si>
    <t>ペア</t>
    <phoneticPr fontId="4"/>
  </si>
  <si>
    <t>重複無し処理</t>
    <rPh sb="0" eb="2">
      <t>チョウフク</t>
    </rPh>
    <rPh sb="2" eb="3">
      <t>ナ</t>
    </rPh>
    <rPh sb="4" eb="6">
      <t>ショリ</t>
    </rPh>
    <phoneticPr fontId="7"/>
  </si>
  <si>
    <t>入力シートに、申込み情報を入力してください。右にスライドすると選手権の申し込み欄があります。</t>
    <rPh sb="0" eb="2">
      <t>ニュウリョク</t>
    </rPh>
    <rPh sb="7" eb="9">
      <t>モウシコミ</t>
    </rPh>
    <rPh sb="10" eb="12">
      <t>ジョウホウ</t>
    </rPh>
    <rPh sb="13" eb="15">
      <t>ニュウリョク</t>
    </rPh>
    <rPh sb="22" eb="23">
      <t>ミギ</t>
    </rPh>
    <rPh sb="31" eb="34">
      <t>センシュケン</t>
    </rPh>
    <rPh sb="35" eb="36">
      <t>モウ</t>
    </rPh>
    <rPh sb="37" eb="38">
      <t>コ</t>
    </rPh>
    <rPh sb="39" eb="40">
      <t>ラン</t>
    </rPh>
    <phoneticPr fontId="7"/>
  </si>
  <si>
    <t>参加費以外の色付き箇所が入力出来ます。</t>
    <rPh sb="0" eb="3">
      <t>サンカヒ</t>
    </rPh>
    <rPh sb="3" eb="5">
      <t>イガイ</t>
    </rPh>
    <rPh sb="6" eb="8">
      <t>イロツ</t>
    </rPh>
    <rPh sb="9" eb="11">
      <t>カショ</t>
    </rPh>
    <rPh sb="12" eb="14">
      <t>ニュウリョク</t>
    </rPh>
    <rPh sb="14" eb="16">
      <t>デキ</t>
    </rPh>
    <phoneticPr fontId="4"/>
  </si>
  <si>
    <t>1-1</t>
  </si>
  <si>
    <t>1-2</t>
  </si>
  <si>
    <t>入力規則</t>
    <rPh sb="0" eb="2">
      <t>ニュウリョク</t>
    </rPh>
    <rPh sb="2" eb="4">
      <t>キソク</t>
    </rPh>
    <phoneticPr fontId="7"/>
  </si>
  <si>
    <t>2B-B-9</t>
  </si>
  <si>
    <t>P-B-09</t>
    <phoneticPr fontId="4"/>
  </si>
  <si>
    <t>P-B-09</t>
    <phoneticPr fontId="4"/>
  </si>
  <si>
    <t>P-I-09</t>
    <phoneticPr fontId="4"/>
  </si>
  <si>
    <t>P-I-09</t>
    <phoneticPr fontId="4"/>
  </si>
  <si>
    <t>P-A-09</t>
    <phoneticPr fontId="4"/>
  </si>
  <si>
    <t>P-B-09</t>
    <phoneticPr fontId="7"/>
  </si>
  <si>
    <t>P-I-09</t>
    <phoneticPr fontId="7"/>
  </si>
  <si>
    <t>P-A-09</t>
    <phoneticPr fontId="7"/>
  </si>
  <si>
    <t>ショート</t>
    <phoneticPr fontId="7"/>
  </si>
  <si>
    <t>sp-C-Jr</t>
    <phoneticPr fontId="4"/>
  </si>
  <si>
    <t>sp-C-Jr</t>
    <phoneticPr fontId="4"/>
  </si>
  <si>
    <t>sp-C-Sr</t>
    <phoneticPr fontId="4"/>
  </si>
  <si>
    <t>sp-C-Sr</t>
    <phoneticPr fontId="4"/>
  </si>
  <si>
    <t>各自　出場種目数</t>
    <rPh sb="0" eb="2">
      <t>カクジ</t>
    </rPh>
    <rPh sb="3" eb="5">
      <t>シュツジョウ</t>
    </rPh>
    <rPh sb="5" eb="7">
      <t>シュモク</t>
    </rPh>
    <rPh sb="7" eb="8">
      <t>スウ</t>
    </rPh>
    <phoneticPr fontId="4"/>
  </si>
  <si>
    <t>シニア</t>
    <phoneticPr fontId="4"/>
  </si>
  <si>
    <t>ショートプログラム</t>
    <phoneticPr fontId="4"/>
  </si>
  <si>
    <t>sp-C-Jr</t>
    <phoneticPr fontId="4"/>
  </si>
  <si>
    <t>sp-C-Sr</t>
    <phoneticPr fontId="4"/>
  </si>
  <si>
    <t>ショートプログラム</t>
    <phoneticPr fontId="4"/>
  </si>
  <si>
    <t>バトン</t>
    <phoneticPr fontId="3"/>
  </si>
  <si>
    <t>共通規定
総数</t>
    <rPh sb="0" eb="2">
      <t>キョウツウ</t>
    </rPh>
    <rPh sb="2" eb="4">
      <t>キテイ</t>
    </rPh>
    <rPh sb="5" eb="7">
      <t>ソウスウ</t>
    </rPh>
    <phoneticPr fontId="3"/>
  </si>
  <si>
    <t>ポンポン</t>
    <phoneticPr fontId="3"/>
  </si>
  <si>
    <t>バトン</t>
    <phoneticPr fontId="4"/>
  </si>
  <si>
    <t>ポンポン</t>
    <phoneticPr fontId="4"/>
  </si>
  <si>
    <t>団体情報欄に入力されたアドレスへ連絡いたします。</t>
    <rPh sb="0" eb="2">
      <t>ダンタイ</t>
    </rPh>
    <rPh sb="2" eb="4">
      <t>ジョウホウ</t>
    </rPh>
    <rPh sb="4" eb="5">
      <t>ラン</t>
    </rPh>
    <rPh sb="6" eb="8">
      <t>ニュウリョク</t>
    </rPh>
    <rPh sb="16" eb="18">
      <t>レンラク</t>
    </rPh>
    <phoneticPr fontId="4"/>
  </si>
  <si>
    <t/>
  </si>
  <si>
    <t>Sr</t>
  </si>
  <si>
    <t>ポンポン小学校</t>
    <rPh sb="4" eb="7">
      <t>ショウガッコウ</t>
    </rPh>
    <phoneticPr fontId="7"/>
  </si>
  <si>
    <t>バトン高等学校</t>
    <rPh sb="3" eb="5">
      <t>コウトウ</t>
    </rPh>
    <rPh sb="5" eb="7">
      <t>ガッコウ</t>
    </rPh>
    <phoneticPr fontId="7"/>
  </si>
  <si>
    <t>千葉県○○市</t>
    <rPh sb="0" eb="2">
      <t>チバ</t>
    </rPh>
    <rPh sb="2" eb="3">
      <t>ケン</t>
    </rPh>
    <rPh sb="5" eb="6">
      <t>シ</t>
    </rPh>
    <phoneticPr fontId="4"/>
  </si>
  <si>
    <t>東京都○○区</t>
    <rPh sb="0" eb="3">
      <t>トウキョウト</t>
    </rPh>
    <rPh sb="5" eb="6">
      <t>ク</t>
    </rPh>
    <phoneticPr fontId="7"/>
  </si>
  <si>
    <t>茨城県○○市</t>
    <rPh sb="0" eb="3">
      <t>イバラキケン</t>
    </rPh>
    <rPh sb="5" eb="6">
      <t>シ</t>
    </rPh>
    <phoneticPr fontId="7"/>
  </si>
  <si>
    <t>神奈川県○○市</t>
    <rPh sb="0" eb="4">
      <t>カナガワケン</t>
    </rPh>
    <rPh sb="6" eb="7">
      <t>シ</t>
    </rPh>
    <phoneticPr fontId="4"/>
  </si>
  <si>
    <t>ショートプログラム</t>
    <phoneticPr fontId="4"/>
  </si>
  <si>
    <t>2-2</t>
    <phoneticPr fontId="4"/>
  </si>
  <si>
    <t>2-1</t>
    <phoneticPr fontId="4"/>
  </si>
  <si>
    <t>sp-C-Jr</t>
    <phoneticPr fontId="7"/>
  </si>
  <si>
    <t>sp-C-Sr</t>
    <phoneticPr fontId="7"/>
  </si>
  <si>
    <t>ショートプログラム</t>
    <phoneticPr fontId="4"/>
  </si>
  <si>
    <t>＜埼玉オープン＞</t>
    <rPh sb="1" eb="3">
      <t>サイタマ</t>
    </rPh>
    <phoneticPr fontId="4"/>
  </si>
  <si>
    <t>Ｊｒ/Ｓｒ</t>
    <phoneticPr fontId="7"/>
  </si>
  <si>
    <t>ジュニア</t>
    <phoneticPr fontId="4"/>
  </si>
  <si>
    <t>シニア</t>
    <phoneticPr fontId="4"/>
  </si>
  <si>
    <t>未就学</t>
    <rPh sb="0" eb="3">
      <t>ミシュウガク</t>
    </rPh>
    <phoneticPr fontId="4"/>
  </si>
  <si>
    <t>小学生</t>
    <rPh sb="0" eb="3">
      <t>ショウガクセイ</t>
    </rPh>
    <phoneticPr fontId="4"/>
  </si>
  <si>
    <t>中学生</t>
    <rPh sb="0" eb="3">
      <t>チュウガクセイ</t>
    </rPh>
    <phoneticPr fontId="4"/>
  </si>
  <si>
    <t>高校生</t>
    <rPh sb="0" eb="3">
      <t>コウコウセイ</t>
    </rPh>
    <phoneticPr fontId="4"/>
  </si>
  <si>
    <t>シニア</t>
    <phoneticPr fontId="4"/>
  </si>
  <si>
    <t>６種目選手権</t>
    <rPh sb="1" eb="3">
      <t>シュモク</t>
    </rPh>
    <rPh sb="3" eb="6">
      <t>センシュケン</t>
    </rPh>
    <phoneticPr fontId="4"/>
  </si>
  <si>
    <t>埼玉オープン</t>
    <rPh sb="0" eb="2">
      <t>サイタマ</t>
    </rPh>
    <phoneticPr fontId="7"/>
  </si>
  <si>
    <t>ジュニア</t>
    <phoneticPr fontId="7"/>
  </si>
  <si>
    <t>シニア</t>
    <phoneticPr fontId="7"/>
  </si>
  <si>
    <t>埼玉オープン</t>
    <rPh sb="0" eb="2">
      <t>サイタマ</t>
    </rPh>
    <phoneticPr fontId="1"/>
  </si>
  <si>
    <t>埼玉オープン
総数</t>
    <rPh sb="0" eb="2">
      <t>サイタマ</t>
    </rPh>
    <rPh sb="7" eb="9">
      <t>ソウスウ</t>
    </rPh>
    <phoneticPr fontId="3"/>
  </si>
  <si>
    <t>埼玉オープン</t>
    <rPh sb="0" eb="2">
      <t>サイタマ</t>
    </rPh>
    <phoneticPr fontId="4"/>
  </si>
  <si>
    <t>ジュニア</t>
    <phoneticPr fontId="4"/>
  </si>
  <si>
    <t>シニア</t>
    <phoneticPr fontId="4"/>
  </si>
  <si>
    <t>総合計額①+②+③</t>
    <rPh sb="0" eb="1">
      <t>ソウ</t>
    </rPh>
    <rPh sb="1" eb="3">
      <t>ゴウケイ</t>
    </rPh>
    <rPh sb="3" eb="4">
      <t>ガク</t>
    </rPh>
    <phoneticPr fontId="3"/>
  </si>
  <si>
    <t>③　団体参加費　1,000円</t>
    <rPh sb="2" eb="4">
      <t>ダンタイ</t>
    </rPh>
    <rPh sb="4" eb="7">
      <t>サンカヒ</t>
    </rPh>
    <rPh sb="13" eb="14">
      <t>エン</t>
    </rPh>
    <phoneticPr fontId="1"/>
  </si>
  <si>
    <t>埼玉OP</t>
    <rPh sb="0" eb="2">
      <t>サイタマ</t>
    </rPh>
    <phoneticPr fontId="7"/>
  </si>
  <si>
    <t>ジュニア</t>
    <phoneticPr fontId="7"/>
  </si>
  <si>
    <t>埼OP</t>
    <rPh sb="0" eb="1">
      <t>サキ</t>
    </rPh>
    <phoneticPr fontId="7"/>
  </si>
  <si>
    <t>埼玉オープン　参加費</t>
    <rPh sb="0" eb="2">
      <t>サイタマ</t>
    </rPh>
    <rPh sb="7" eb="10">
      <t>サンカヒ</t>
    </rPh>
    <phoneticPr fontId="4"/>
  </si>
  <si>
    <t>ジュニア</t>
    <phoneticPr fontId="4"/>
  </si>
  <si>
    <t>ジュニア/シニア
を選択</t>
    <rPh sb="10" eb="12">
      <t>センタク</t>
    </rPh>
    <phoneticPr fontId="7"/>
  </si>
  <si>
    <t>～</t>
  </si>
  <si>
    <t>会員番号</t>
    <rPh sb="0" eb="2">
      <t>カイイン</t>
    </rPh>
    <rPh sb="2" eb="4">
      <t>バンゴウ</t>
    </rPh>
    <phoneticPr fontId="50"/>
  </si>
  <si>
    <t>氏名</t>
    <rPh sb="0" eb="2">
      <t>シメイ</t>
    </rPh>
    <phoneticPr fontId="3"/>
  </si>
  <si>
    <t>種目</t>
    <rPh sb="0" eb="2">
      <t>シュモク</t>
    </rPh>
    <phoneticPr fontId="3"/>
  </si>
  <si>
    <t>複合出場</t>
    <rPh sb="0" eb="2">
      <t>フクゴウ</t>
    </rPh>
    <rPh sb="2" eb="4">
      <t>シュツジョウ</t>
    </rPh>
    <phoneticPr fontId="3"/>
  </si>
  <si>
    <t>所属団体名/出場先団体名</t>
    <rPh sb="0" eb="2">
      <t>ショゾク</t>
    </rPh>
    <rPh sb="2" eb="4">
      <t>ダンタイ</t>
    </rPh>
    <rPh sb="4" eb="5">
      <t>メイ</t>
    </rPh>
    <rPh sb="6" eb="8">
      <t>シュツジョウ</t>
    </rPh>
    <rPh sb="8" eb="9">
      <t>サキ</t>
    </rPh>
    <rPh sb="9" eb="11">
      <t>ダンタイ</t>
    </rPh>
    <rPh sb="11" eb="12">
      <t>メイ</t>
    </rPh>
    <phoneticPr fontId="50"/>
  </si>
  <si>
    <t>例 00000</t>
    <rPh sb="0" eb="1">
      <t>レイ</t>
    </rPh>
    <phoneticPr fontId="3"/>
  </si>
  <si>
    <t>関東　花子</t>
    <rPh sb="0" eb="2">
      <t>カントウ</t>
    </rPh>
    <rPh sb="3" eb="5">
      <t>ハナコ</t>
    </rPh>
    <phoneticPr fontId="3"/>
  </si>
  <si>
    <t>他団体から複合出場</t>
  </si>
  <si>
    <t>所属団体名</t>
    <rPh sb="0" eb="2">
      <t>ショゾク</t>
    </rPh>
    <rPh sb="2" eb="4">
      <t>ダンタイ</t>
    </rPh>
    <rPh sb="4" eb="5">
      <t>メイ</t>
    </rPh>
    <phoneticPr fontId="50"/>
  </si>
  <si>
    <t>ペア複合 出場選手　記入欄</t>
    <rPh sb="2" eb="4">
      <t>フクゴウ</t>
    </rPh>
    <rPh sb="5" eb="7">
      <t>シュツジョウ</t>
    </rPh>
    <rPh sb="7" eb="9">
      <t>センシュ</t>
    </rPh>
    <rPh sb="10" eb="12">
      <t>キニュウ</t>
    </rPh>
    <rPh sb="12" eb="13">
      <t>ラン</t>
    </rPh>
    <phoneticPr fontId="3"/>
  </si>
  <si>
    <t>※他団体所属の選手が出場する場合・出場選手が他団体へも出場する場合は、下に記載すること。</t>
    <rPh sb="1" eb="2">
      <t>タ</t>
    </rPh>
    <rPh sb="2" eb="4">
      <t>ダンタイ</t>
    </rPh>
    <rPh sb="4" eb="6">
      <t>ショゾク</t>
    </rPh>
    <rPh sb="7" eb="9">
      <t>センシュ</t>
    </rPh>
    <rPh sb="10" eb="12">
      <t>シュツジョウ</t>
    </rPh>
    <rPh sb="14" eb="16">
      <t>バアイ</t>
    </rPh>
    <rPh sb="17" eb="19">
      <t>シュツジョウ</t>
    </rPh>
    <rPh sb="19" eb="21">
      <t>センシュ</t>
    </rPh>
    <rPh sb="22" eb="23">
      <t>タ</t>
    </rPh>
    <rPh sb="23" eb="25">
      <t>ダンタイ</t>
    </rPh>
    <rPh sb="27" eb="29">
      <t>シュツジョウ</t>
    </rPh>
    <rPh sb="31" eb="33">
      <t>バアイ</t>
    </rPh>
    <rPh sb="35" eb="36">
      <t>シタ</t>
    </rPh>
    <rPh sb="37" eb="39">
      <t>キサイ</t>
    </rPh>
    <phoneticPr fontId="50"/>
  </si>
  <si>
    <t>選手権</t>
    <rPh sb="0" eb="3">
      <t>センシュケン</t>
    </rPh>
    <phoneticPr fontId="4"/>
  </si>
  <si>
    <t>ペア</t>
    <phoneticPr fontId="3"/>
  </si>
  <si>
    <t>アーティスティック　参加費</t>
    <rPh sb="10" eb="13">
      <t>サンカヒ</t>
    </rPh>
    <phoneticPr fontId="4"/>
  </si>
  <si>
    <t>Aトワール</t>
    <phoneticPr fontId="4"/>
  </si>
  <si>
    <t>Aペア</t>
    <phoneticPr fontId="4"/>
  </si>
  <si>
    <t>大学一般</t>
    <rPh sb="0" eb="2">
      <t>ダイガク</t>
    </rPh>
    <rPh sb="2" eb="4">
      <t>イッパン</t>
    </rPh>
    <phoneticPr fontId="4"/>
  </si>
  <si>
    <t>～</t>
    <phoneticPr fontId="4"/>
  </si>
  <si>
    <t>＜アーティスティックトワール/アーティスティックペア＞</t>
    <phoneticPr fontId="4"/>
  </si>
  <si>
    <t>Aトワール女子</t>
    <rPh sb="5" eb="7">
      <t>ジョシ</t>
    </rPh>
    <phoneticPr fontId="4"/>
  </si>
  <si>
    <t>Aトワール男子</t>
    <rPh sb="5" eb="7">
      <t>ダンシ</t>
    </rPh>
    <phoneticPr fontId="4"/>
  </si>
  <si>
    <t>Aペア</t>
    <phoneticPr fontId="4"/>
  </si>
  <si>
    <t>女子Jr</t>
    <rPh sb="0" eb="2">
      <t>ジョシ</t>
    </rPh>
    <phoneticPr fontId="4"/>
  </si>
  <si>
    <t>女子Sr</t>
    <rPh sb="0" eb="2">
      <t>ジョシ</t>
    </rPh>
    <phoneticPr fontId="4"/>
  </si>
  <si>
    <t>女子Ad</t>
    <rPh sb="0" eb="2">
      <t>ジョシ</t>
    </rPh>
    <phoneticPr fontId="4"/>
  </si>
  <si>
    <t>M1</t>
    <phoneticPr fontId="4"/>
  </si>
  <si>
    <t>M2</t>
    <phoneticPr fontId="4"/>
  </si>
  <si>
    <t>AT-C-Jr</t>
    <phoneticPr fontId="4"/>
  </si>
  <si>
    <t>AT-C-Sr</t>
    <phoneticPr fontId="4"/>
  </si>
  <si>
    <t>AT-C-Ad</t>
    <phoneticPr fontId="4"/>
  </si>
  <si>
    <t>MAT-C-Jr</t>
    <phoneticPr fontId="4"/>
  </si>
  <si>
    <t>MAT-C-Sr</t>
    <phoneticPr fontId="4"/>
  </si>
  <si>
    <t>P-C-Jr</t>
    <phoneticPr fontId="4"/>
  </si>
  <si>
    <t>P-C-Sr</t>
    <phoneticPr fontId="4"/>
  </si>
  <si>
    <t>Jr</t>
    <phoneticPr fontId="4"/>
  </si>
  <si>
    <t>Sr</t>
    <phoneticPr fontId="4"/>
  </si>
  <si>
    <t>対象
年齢</t>
    <rPh sb="0" eb="2">
      <t>タイショウ</t>
    </rPh>
    <rPh sb="3" eb="5">
      <t>ネンレイ</t>
    </rPh>
    <phoneticPr fontId="7"/>
  </si>
  <si>
    <t>対象
年齢</t>
    <rPh sb="0" eb="2">
      <t>タイショウ</t>
    </rPh>
    <rPh sb="3" eb="5">
      <t>ネンレイ</t>
    </rPh>
    <phoneticPr fontId="7"/>
  </si>
  <si>
    <t>アーティスティックトワール
アーティスティックペア</t>
    <phoneticPr fontId="7"/>
  </si>
  <si>
    <t>アーティスティック
トワール</t>
    <phoneticPr fontId="4"/>
  </si>
  <si>
    <t>アーティスティック
ペア</t>
    <phoneticPr fontId="4"/>
  </si>
  <si>
    <t>アーティスティック</t>
    <phoneticPr fontId="7"/>
  </si>
  <si>
    <t>トワール</t>
    <phoneticPr fontId="4"/>
  </si>
  <si>
    <t>M3</t>
    <phoneticPr fontId="4"/>
  </si>
  <si>
    <t>M4</t>
    <phoneticPr fontId="4"/>
  </si>
  <si>
    <t>AT-C-Y</t>
  </si>
  <si>
    <t>AT-C-Jr</t>
  </si>
  <si>
    <t>AT-C-Sr</t>
  </si>
  <si>
    <t>AT-C-Ad</t>
  </si>
  <si>
    <t>MAT-C-Jr</t>
  </si>
  <si>
    <t>MAT-C-Sr</t>
  </si>
  <si>
    <t>AP-C-Jr</t>
  </si>
  <si>
    <t>AP-C-Jr</t>
    <phoneticPr fontId="4"/>
  </si>
  <si>
    <t>AP-C-Sr</t>
  </si>
  <si>
    <t>AP-C-Sr</t>
    <phoneticPr fontId="4"/>
  </si>
  <si>
    <t>AP-C-Sr</t>
    <phoneticPr fontId="4"/>
  </si>
  <si>
    <t>AP-C-Jr</t>
    <phoneticPr fontId="4"/>
  </si>
  <si>
    <t>AP-C-Sr</t>
    <phoneticPr fontId="4"/>
  </si>
  <si>
    <t>AT</t>
    <phoneticPr fontId="7"/>
  </si>
  <si>
    <t>AP</t>
    <phoneticPr fontId="7"/>
  </si>
  <si>
    <t>1人換算</t>
    <rPh sb="1" eb="2">
      <t>ニン</t>
    </rPh>
    <rPh sb="2" eb="4">
      <t>カンサン</t>
    </rPh>
    <phoneticPr fontId="4"/>
  </si>
  <si>
    <t>AT・AP</t>
    <phoneticPr fontId="7"/>
  </si>
  <si>
    <t>女子</t>
    <rPh sb="0" eb="2">
      <t>ジョシ</t>
    </rPh>
    <phoneticPr fontId="52"/>
  </si>
  <si>
    <t>男子</t>
    <rPh sb="0" eb="2">
      <t>ダンシ</t>
    </rPh>
    <phoneticPr fontId="1"/>
  </si>
  <si>
    <t>ジュニア</t>
    <phoneticPr fontId="4"/>
  </si>
  <si>
    <t>シニア</t>
    <phoneticPr fontId="4"/>
  </si>
  <si>
    <t>アーティスティックペア</t>
    <phoneticPr fontId="4"/>
  </si>
  <si>
    <t>アーティスティックトワール</t>
    <phoneticPr fontId="4"/>
  </si>
  <si>
    <r>
      <rPr>
        <sz val="9"/>
        <rFont val="ＭＳ Ｐゴシック"/>
        <family val="3"/>
        <charset val="128"/>
      </rPr>
      <t>アーティスティック</t>
    </r>
    <r>
      <rPr>
        <sz val="11"/>
        <rFont val="ＭＳ Ｐゴシック"/>
        <family val="3"/>
        <charset val="128"/>
      </rPr>
      <t xml:space="preserve">
総数</t>
    </r>
    <rPh sb="10" eb="12">
      <t>ソウスウ</t>
    </rPh>
    <phoneticPr fontId="4"/>
  </si>
  <si>
    <t>アーティスティックペア</t>
    <phoneticPr fontId="4"/>
  </si>
  <si>
    <t>アーティスティックトワール/アーティスティックペア</t>
    <phoneticPr fontId="4"/>
  </si>
  <si>
    <t>=</t>
    <phoneticPr fontId="4"/>
  </si>
  <si>
    <t>1-2</t>
    <phoneticPr fontId="7"/>
  </si>
  <si>
    <t>区分</t>
    <rPh sb="0" eb="2">
      <t>クブン</t>
    </rPh>
    <phoneticPr fontId="7"/>
  </si>
  <si>
    <t>女子Sr</t>
  </si>
  <si>
    <t>ショートプログラム　参加費</t>
    <rPh sb="10" eb="13">
      <t>サンカヒ</t>
    </rPh>
    <phoneticPr fontId="4"/>
  </si>
  <si>
    <t>S-C-U9</t>
    <phoneticPr fontId="4"/>
  </si>
  <si>
    <t>S-C-U12</t>
    <phoneticPr fontId="4"/>
  </si>
  <si>
    <t>S-C-U15</t>
    <phoneticPr fontId="4"/>
  </si>
  <si>
    <t>S-C-U18</t>
    <phoneticPr fontId="4"/>
  </si>
  <si>
    <t>S-C-U22</t>
    <phoneticPr fontId="4"/>
  </si>
  <si>
    <t>S-C-O23</t>
    <phoneticPr fontId="4"/>
  </si>
  <si>
    <t>MS-C-U12</t>
    <phoneticPr fontId="4"/>
  </si>
  <si>
    <t>MS-C-U15</t>
    <phoneticPr fontId="4"/>
  </si>
  <si>
    <t>MS-C-U18</t>
    <phoneticPr fontId="4"/>
  </si>
  <si>
    <t>MS-C-O19</t>
    <phoneticPr fontId="4"/>
  </si>
  <si>
    <t>女子U-9</t>
    <rPh sb="0" eb="2">
      <t>ジョシ</t>
    </rPh>
    <phoneticPr fontId="4"/>
  </si>
  <si>
    <t>女子U-12</t>
    <rPh sb="0" eb="2">
      <t>ジョシ</t>
    </rPh>
    <phoneticPr fontId="4"/>
  </si>
  <si>
    <t>女子U-15</t>
    <rPh sb="0" eb="2">
      <t>ジョシ</t>
    </rPh>
    <phoneticPr fontId="4"/>
  </si>
  <si>
    <t>女子U-18</t>
    <rPh sb="0" eb="2">
      <t>ジョシ</t>
    </rPh>
    <phoneticPr fontId="4"/>
  </si>
  <si>
    <t>女子U-22</t>
    <rPh sb="0" eb="2">
      <t>ジョシ</t>
    </rPh>
    <phoneticPr fontId="4"/>
  </si>
  <si>
    <t>女子O-23</t>
    <rPh sb="0" eb="2">
      <t>ジョシ</t>
    </rPh>
    <phoneticPr fontId="4"/>
  </si>
  <si>
    <t>男子U-12</t>
    <rPh sb="0" eb="2">
      <t>ダンシ</t>
    </rPh>
    <phoneticPr fontId="4"/>
  </si>
  <si>
    <t>男子U-15</t>
    <rPh sb="0" eb="2">
      <t>ダンシ</t>
    </rPh>
    <phoneticPr fontId="4"/>
  </si>
  <si>
    <t>男子U-18</t>
    <rPh sb="0" eb="2">
      <t>ダンシ</t>
    </rPh>
    <phoneticPr fontId="4"/>
  </si>
  <si>
    <t>男子O-19</t>
    <rPh sb="0" eb="2">
      <t>ダンシ</t>
    </rPh>
    <phoneticPr fontId="4"/>
  </si>
  <si>
    <t>M2B-C-U15</t>
  </si>
  <si>
    <t>M2B-C-U15</t>
    <phoneticPr fontId="4"/>
  </si>
  <si>
    <t>M2B-C-U12</t>
  </si>
  <si>
    <t>M2B-C-U12</t>
    <phoneticPr fontId="4"/>
  </si>
  <si>
    <t>M2B-C-U18</t>
  </si>
  <si>
    <t>M2B-C-U18</t>
    <phoneticPr fontId="4"/>
  </si>
  <si>
    <t>M2B-C-O19</t>
  </si>
  <si>
    <t>M2B-C-O19</t>
    <phoneticPr fontId="4"/>
  </si>
  <si>
    <t>2B-C-U12</t>
  </si>
  <si>
    <t>2B-C-U12</t>
    <phoneticPr fontId="4"/>
  </si>
  <si>
    <t>2B-C-U15</t>
  </si>
  <si>
    <t>2B-C-U15</t>
    <phoneticPr fontId="4"/>
  </si>
  <si>
    <t>2B-C-U18</t>
  </si>
  <si>
    <t>2B-C-U18</t>
    <phoneticPr fontId="4"/>
  </si>
  <si>
    <t>2B-C-U22</t>
  </si>
  <si>
    <t>2B-C-U22</t>
    <phoneticPr fontId="4"/>
  </si>
  <si>
    <t>3B-C-U12</t>
  </si>
  <si>
    <t>3B-C-U12</t>
    <phoneticPr fontId="4"/>
  </si>
  <si>
    <t>3B-C-U15</t>
  </si>
  <si>
    <t>3B-C-U15</t>
    <phoneticPr fontId="4"/>
  </si>
  <si>
    <t>3B-C-U18</t>
  </si>
  <si>
    <t>3B-C-U18</t>
    <phoneticPr fontId="4"/>
  </si>
  <si>
    <t>3B-C-U22</t>
  </si>
  <si>
    <t>3B-C-U22</t>
    <phoneticPr fontId="4"/>
  </si>
  <si>
    <t>3B-C-O23</t>
  </si>
  <si>
    <t>3B-C-O23</t>
    <phoneticPr fontId="4"/>
  </si>
  <si>
    <t>M3B-C-U12</t>
  </si>
  <si>
    <t>M3B-C-U12</t>
    <phoneticPr fontId="4"/>
  </si>
  <si>
    <t>M3B-C-U15</t>
  </si>
  <si>
    <t>M3B-C-U15</t>
    <phoneticPr fontId="4"/>
  </si>
  <si>
    <t>M3B-C-U18</t>
  </si>
  <si>
    <t>M3B-C-U18</t>
    <phoneticPr fontId="4"/>
  </si>
  <si>
    <t>M3B-C-O19</t>
  </si>
  <si>
    <t>M3B-C-O19</t>
    <phoneticPr fontId="4"/>
  </si>
  <si>
    <t>U-12</t>
    <phoneticPr fontId="4"/>
  </si>
  <si>
    <t>U-15</t>
    <phoneticPr fontId="4"/>
  </si>
  <si>
    <t>U-18</t>
    <phoneticPr fontId="4"/>
  </si>
  <si>
    <t>U-22</t>
    <phoneticPr fontId="4"/>
  </si>
  <si>
    <t>O-23</t>
    <phoneticPr fontId="4"/>
  </si>
  <si>
    <t>P-C-U12</t>
  </si>
  <si>
    <t>P-C-U12</t>
    <phoneticPr fontId="4"/>
  </si>
  <si>
    <t>P-C-U15</t>
  </si>
  <si>
    <t>P-C-U15</t>
    <phoneticPr fontId="4"/>
  </si>
  <si>
    <t>P-C-U18</t>
  </si>
  <si>
    <t>P-C-U18</t>
    <phoneticPr fontId="4"/>
  </si>
  <si>
    <t>P-C-U22</t>
  </si>
  <si>
    <t>P-C-U22</t>
    <phoneticPr fontId="4"/>
  </si>
  <si>
    <t>P-C-O23</t>
  </si>
  <si>
    <t>P-C-O23</t>
    <phoneticPr fontId="4"/>
  </si>
  <si>
    <t>SS-C-U12</t>
  </si>
  <si>
    <t>SS-C-U12</t>
    <phoneticPr fontId="4"/>
  </si>
  <si>
    <t>SS-C-U15</t>
  </si>
  <si>
    <t>SS-C-U15</t>
    <phoneticPr fontId="4"/>
  </si>
  <si>
    <t>SS-C-U18</t>
  </si>
  <si>
    <t>SS-C-U18</t>
    <phoneticPr fontId="4"/>
  </si>
  <si>
    <t>SS-C-U22</t>
  </si>
  <si>
    <t>SS-C-U22</t>
    <phoneticPr fontId="4"/>
  </si>
  <si>
    <t>SS-C-O23</t>
  </si>
  <si>
    <t>SS-C-O23</t>
    <phoneticPr fontId="4"/>
  </si>
  <si>
    <t>D-C-U12</t>
  </si>
  <si>
    <t>D-C-U12</t>
    <phoneticPr fontId="4"/>
  </si>
  <si>
    <t>D-C-U15</t>
  </si>
  <si>
    <t>D-C-U15</t>
    <phoneticPr fontId="4"/>
  </si>
  <si>
    <t>D-C-U18</t>
  </si>
  <si>
    <t>D-C-U18</t>
    <phoneticPr fontId="4"/>
  </si>
  <si>
    <t>D-C-U22</t>
  </si>
  <si>
    <t>D-C-U22</t>
    <phoneticPr fontId="4"/>
  </si>
  <si>
    <t>D-C-O23</t>
  </si>
  <si>
    <t>D-C-O23</t>
    <phoneticPr fontId="4"/>
  </si>
  <si>
    <t>2B-C-O23</t>
  </si>
  <si>
    <t>2B-C-O23</t>
    <phoneticPr fontId="4"/>
  </si>
  <si>
    <t>Ｏ－２３</t>
    <phoneticPr fontId="4"/>
  </si>
  <si>
    <t>Ｕ－１２</t>
    <phoneticPr fontId="4"/>
  </si>
  <si>
    <t>Ｏ－１９</t>
    <phoneticPr fontId="4"/>
  </si>
  <si>
    <t>Ｕ－１５</t>
    <phoneticPr fontId="3"/>
  </si>
  <si>
    <t>Ｕ－１８</t>
    <phoneticPr fontId="3"/>
  </si>
  <si>
    <t>ショートプログラム</t>
    <phoneticPr fontId="7"/>
  </si>
  <si>
    <t>Ｕ－２２</t>
    <phoneticPr fontId="3"/>
  </si>
  <si>
    <t>M1</t>
  </si>
  <si>
    <t>O-23</t>
  </si>
  <si>
    <t>男子O-19</t>
  </si>
  <si>
    <t>ミックス</t>
    <phoneticPr fontId="7"/>
  </si>
  <si>
    <t>U-15</t>
    <phoneticPr fontId="3"/>
  </si>
  <si>
    <t>女子U-12</t>
    <phoneticPr fontId="7"/>
  </si>
  <si>
    <t>女子U-12</t>
    <phoneticPr fontId="7"/>
  </si>
  <si>
    <t>女子U-22</t>
    <phoneticPr fontId="7"/>
  </si>
  <si>
    <t>女子Jr</t>
    <phoneticPr fontId="7"/>
  </si>
  <si>
    <t>※I列の年を修正</t>
    <rPh sb="2" eb="3">
      <t>レツ</t>
    </rPh>
    <rPh sb="4" eb="5">
      <t>ネン</t>
    </rPh>
    <rPh sb="6" eb="8">
      <t>シュウセイ</t>
    </rPh>
    <phoneticPr fontId="7"/>
  </si>
  <si>
    <t>U-15</t>
  </si>
  <si>
    <t>1人　3000</t>
    <rPh sb="1" eb="2">
      <t>ニン</t>
    </rPh>
    <phoneticPr fontId="4"/>
  </si>
  <si>
    <t>【参加費振込〆切：10月15日（木）】</t>
    <rPh sb="1" eb="4">
      <t>サンカヒ</t>
    </rPh>
    <rPh sb="4" eb="6">
      <t>フリコミ</t>
    </rPh>
    <rPh sb="6" eb="8">
      <t>シメキリ</t>
    </rPh>
    <rPh sb="11" eb="12">
      <t>ガツ</t>
    </rPh>
    <rPh sb="14" eb="15">
      <t>ニチ</t>
    </rPh>
    <rPh sb="16" eb="17">
      <t>キ</t>
    </rPh>
    <phoneticPr fontId="1"/>
  </si>
  <si>
    <t>申込締切</t>
    <rPh sb="0" eb="2">
      <t>モウシコミ</t>
    </rPh>
    <rPh sb="2" eb="4">
      <t>シメキリ</t>
    </rPh>
    <phoneticPr fontId="4"/>
  </si>
  <si>
    <t>①　日本バトン協会関東支部所属団体　　10月12日(月)</t>
    <rPh sb="2" eb="4">
      <t>ニホン</t>
    </rPh>
    <rPh sb="7" eb="9">
      <t>キョウカイ</t>
    </rPh>
    <rPh sb="9" eb="11">
      <t>カントウ</t>
    </rPh>
    <rPh sb="11" eb="13">
      <t>シブ</t>
    </rPh>
    <rPh sb="13" eb="15">
      <t>ショゾク</t>
    </rPh>
    <rPh sb="15" eb="17">
      <t>ダンタイ</t>
    </rPh>
    <rPh sb="21" eb="22">
      <t>ガツ</t>
    </rPh>
    <rPh sb="24" eb="25">
      <t>ニチ</t>
    </rPh>
    <rPh sb="26" eb="27">
      <t>ゲツ</t>
    </rPh>
    <phoneticPr fontId="4"/>
  </si>
  <si>
    <t>②　①以外の団体　　　　10月13日(火)～10月15日(木)</t>
    <rPh sb="3" eb="5">
      <t>イガイ</t>
    </rPh>
    <rPh sb="6" eb="8">
      <t>ダンタイ</t>
    </rPh>
    <rPh sb="14" eb="15">
      <t>ガツ</t>
    </rPh>
    <rPh sb="17" eb="18">
      <t>ニチ</t>
    </rPh>
    <rPh sb="19" eb="20">
      <t>カ</t>
    </rPh>
    <rPh sb="24" eb="25">
      <t>ガツ</t>
    </rPh>
    <rPh sb="27" eb="28">
      <t>ニチ</t>
    </rPh>
    <rPh sb="29" eb="30">
      <t>キ</t>
    </rPh>
    <phoneticPr fontId="4"/>
  </si>
  <si>
    <t>第２２回埼玉バトントワーリングコンテスト</t>
    <rPh sb="0" eb="1">
      <t>ダイ</t>
    </rPh>
    <rPh sb="3" eb="4">
      <t>カイ</t>
    </rPh>
    <rPh sb="4" eb="6">
      <t>サイタマ</t>
    </rPh>
    <phoneticPr fontId="4"/>
  </si>
  <si>
    <t>※2027/12/31時点の年齢</t>
    <rPh sb="11" eb="13">
      <t>ジテン</t>
    </rPh>
    <rPh sb="14" eb="16">
      <t>ネンレイ</t>
    </rPh>
    <phoneticPr fontId="4"/>
  </si>
  <si>
    <t>2015年4月1日以前の生年月日が対象</t>
    <phoneticPr fontId="7"/>
  </si>
  <si>
    <t>修正</t>
    <rPh sb="0" eb="2">
      <t>シュウセイ</t>
    </rPh>
    <phoneticPr fontId="7"/>
  </si>
  <si>
    <t>用品送付先</t>
    <rPh sb="0" eb="2">
      <t>ヨウヒン</t>
    </rPh>
    <rPh sb="2" eb="5">
      <t>ソウフサキ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</si>
</sst>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¥&quot;#,##0;&quot;¥&quot;\-#,##0"/>
    <numFmt numFmtId="176" formatCode="[$-F800]dddd\,\ mmmm\ dd\,\ yyyy"/>
    <numFmt numFmtId="177" formatCode="0_);[Red]\(0\)"/>
    <numFmt numFmtId="178" formatCode="00000000"/>
  </numFmts>
  <fonts count="55" x14ac:knownFonts="1">
    <font>
      <sz val="11"/>
      <color theme="1"/>
      <name val="ＭＳ Ｐゴシック"/>
      <family val="3"/>
      <charset val="128"/>
      <scheme val="minor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rgb="FF333333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8"/>
      <color rgb="FFFF0000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</font>
    <font>
      <b/>
      <sz val="11"/>
      <color theme="4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trike/>
      <sz val="11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9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</fills>
  <borders count="19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 diagonalUp="1">
      <left style="thin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 diagonalUp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 diagonalUp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Up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/>
      <top style="double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double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n">
        <color indexed="64"/>
      </right>
      <top/>
      <bottom/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</borders>
  <cellStyleXfs count="6">
    <xf numFmtId="0" fontId="0" fillId="0" borderId="0">
      <alignment vertical="center"/>
    </xf>
    <xf numFmtId="38" fontId="22" fillId="0" borderId="0" applyFont="0" applyFill="0" applyBorder="0" applyAlignment="0" applyProtection="0">
      <alignment vertical="center"/>
    </xf>
    <xf numFmtId="0" fontId="2" fillId="0" borderId="0"/>
    <xf numFmtId="0" fontId="22" fillId="0" borderId="0">
      <alignment vertical="center"/>
    </xf>
    <xf numFmtId="0" fontId="22" fillId="0" borderId="0">
      <alignment vertical="center"/>
    </xf>
    <xf numFmtId="0" fontId="46" fillId="0" borderId="0" applyNumberFormat="0" applyFill="0" applyBorder="0" applyAlignment="0" applyProtection="0">
      <alignment vertical="center"/>
    </xf>
  </cellStyleXfs>
  <cellXfs count="9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2" applyAlignment="1">
      <alignment horizontal="center"/>
    </xf>
    <xf numFmtId="0" fontId="2" fillId="0" borderId="0" xfId="2"/>
    <xf numFmtId="0" fontId="11" fillId="0" borderId="0" xfId="2" applyFont="1" applyAlignment="1">
      <alignment horizontal="center"/>
    </xf>
    <xf numFmtId="0" fontId="10" fillId="0" borderId="0" xfId="2" applyFont="1" applyAlignment="1">
      <alignment horizontal="center"/>
    </xf>
    <xf numFmtId="0" fontId="9" fillId="0" borderId="0" xfId="2" applyFont="1" applyAlignment="1">
      <alignment horizontal="left" vertical="center"/>
    </xf>
    <xf numFmtId="0" fontId="15" fillId="0" borderId="0" xfId="2" applyFont="1"/>
    <xf numFmtId="0" fontId="15" fillId="0" borderId="0" xfId="2" applyFont="1" applyAlignment="1">
      <alignment horizontal="center"/>
    </xf>
    <xf numFmtId="0" fontId="9" fillId="0" borderId="0" xfId="2" applyFont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1" fillId="0" borderId="1" xfId="2" applyFont="1" applyBorder="1"/>
    <xf numFmtId="0" fontId="11" fillId="0" borderId="0" xfId="2" applyFont="1" applyAlignment="1">
      <alignment horizontal="left"/>
    </xf>
    <xf numFmtId="0" fontId="16" fillId="0" borderId="2" xfId="2" applyFont="1" applyBorder="1" applyAlignment="1">
      <alignment horizontal="center"/>
    </xf>
    <xf numFmtId="0" fontId="25" fillId="0" borderId="0" xfId="0" applyFont="1">
      <alignment vertical="center"/>
    </xf>
    <xf numFmtId="0" fontId="5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49" fontId="0" fillId="0" borderId="0" xfId="0" applyNumberFormat="1">
      <alignment vertical="center"/>
    </xf>
    <xf numFmtId="0" fontId="0" fillId="4" borderId="51" xfId="0" applyFill="1" applyBorder="1" applyAlignment="1">
      <alignment horizontal="center" vertical="center"/>
    </xf>
    <xf numFmtId="0" fontId="0" fillId="6" borderId="51" xfId="0" applyFill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2" fillId="0" borderId="43" xfId="2" applyBorder="1" applyAlignment="1">
      <alignment horizontal="center"/>
    </xf>
    <xf numFmtId="0" fontId="2" fillId="0" borderId="44" xfId="2" applyBorder="1" applyAlignment="1">
      <alignment horizontal="center"/>
    </xf>
    <xf numFmtId="0" fontId="13" fillId="0" borderId="43" xfId="2" applyFont="1" applyBorder="1" applyAlignment="1">
      <alignment horizontal="center"/>
    </xf>
    <xf numFmtId="0" fontId="2" fillId="0" borderId="0" xfId="2" applyAlignment="1">
      <alignment horizontal="left"/>
    </xf>
    <xf numFmtId="0" fontId="16" fillId="0" borderId="0" xfId="2" applyFont="1" applyAlignment="1">
      <alignment horizontal="center" vertical="center"/>
    </xf>
    <xf numFmtId="0" fontId="21" fillId="0" borderId="0" xfId="2" applyFont="1" applyAlignment="1">
      <alignment horizontal="left" vertical="center"/>
    </xf>
    <xf numFmtId="3" fontId="2" fillId="0" borderId="43" xfId="2" applyNumberFormat="1" applyBorder="1"/>
    <xf numFmtId="3" fontId="2" fillId="0" borderId="44" xfId="2" applyNumberFormat="1" applyBorder="1"/>
    <xf numFmtId="0" fontId="2" fillId="0" borderId="43" xfId="2" applyBorder="1"/>
    <xf numFmtId="0" fontId="11" fillId="4" borderId="72" xfId="2" applyFont="1" applyFill="1" applyBorder="1" applyAlignment="1">
      <alignment horizontal="center" vertical="center"/>
    </xf>
    <xf numFmtId="0" fontId="11" fillId="4" borderId="73" xfId="2" applyFont="1" applyFill="1" applyBorder="1" applyAlignment="1">
      <alignment horizontal="center" vertical="center"/>
    </xf>
    <xf numFmtId="0" fontId="2" fillId="0" borderId="0" xfId="2" applyProtection="1">
      <protection locked="0"/>
    </xf>
    <xf numFmtId="0" fontId="2" fillId="0" borderId="0" xfId="2" applyAlignment="1" applyProtection="1">
      <alignment horizontal="center"/>
      <protection locked="0"/>
    </xf>
    <xf numFmtId="0" fontId="30" fillId="0" borderId="0" xfId="4" applyFont="1" applyAlignment="1">
      <alignment horizontal="right" vertical="center"/>
    </xf>
    <xf numFmtId="0" fontId="30" fillId="0" borderId="0" xfId="4" applyFont="1" applyAlignment="1">
      <alignment horizontal="left" vertical="center"/>
    </xf>
    <xf numFmtId="0" fontId="25" fillId="0" borderId="0" xfId="4" applyFont="1" applyAlignment="1">
      <alignment horizontal="center" vertical="center"/>
    </xf>
    <xf numFmtId="0" fontId="31" fillId="0" borderId="4" xfId="4" applyFont="1" applyBorder="1" applyAlignment="1">
      <alignment horizontal="center" vertical="center"/>
    </xf>
    <xf numFmtId="0" fontId="31" fillId="0" borderId="8" xfId="4" applyFont="1" applyBorder="1" applyAlignment="1">
      <alignment horizontal="center" vertical="center"/>
    </xf>
    <xf numFmtId="0" fontId="31" fillId="0" borderId="75" xfId="4" applyFont="1" applyBorder="1" applyAlignment="1">
      <alignment horizontal="center" vertical="center"/>
    </xf>
    <xf numFmtId="0" fontId="32" fillId="0" borderId="0" xfId="4" applyFont="1" applyProtection="1">
      <alignment vertical="center"/>
      <protection locked="0"/>
    </xf>
    <xf numFmtId="0" fontId="31" fillId="0" borderId="75" xfId="4" applyFont="1" applyBorder="1" applyAlignment="1">
      <alignment horizontal="center" vertical="center" wrapText="1"/>
    </xf>
    <xf numFmtId="0" fontId="22" fillId="0" borderId="0" xfId="4">
      <alignment vertical="center"/>
    </xf>
    <xf numFmtId="0" fontId="27" fillId="0" borderId="0" xfId="4" applyFont="1" applyAlignment="1">
      <alignment horizontal="left" vertical="center"/>
    </xf>
    <xf numFmtId="0" fontId="22" fillId="0" borderId="0" xfId="4" applyAlignment="1">
      <alignment horizontal="center" vertical="center"/>
    </xf>
    <xf numFmtId="0" fontId="27" fillId="0" borderId="0" xfId="4" applyFont="1">
      <alignment vertical="center"/>
    </xf>
    <xf numFmtId="0" fontId="22" fillId="0" borderId="0" xfId="4" applyAlignment="1">
      <alignment horizontal="right" vertical="center"/>
    </xf>
    <xf numFmtId="0" fontId="32" fillId="0" borderId="0" xfId="4" applyFont="1" applyAlignment="1">
      <alignment horizontal="right" vertical="center"/>
    </xf>
    <xf numFmtId="0" fontId="33" fillId="0" borderId="0" xfId="4" applyFont="1" applyAlignment="1">
      <alignment horizontal="right" vertical="center"/>
    </xf>
    <xf numFmtId="0" fontId="22" fillId="0" borderId="0" xfId="4" applyAlignment="1">
      <alignment horizontal="left" vertical="center"/>
    </xf>
    <xf numFmtId="0" fontId="34" fillId="0" borderId="0" xfId="4" applyFont="1">
      <alignment vertical="center"/>
    </xf>
    <xf numFmtId="0" fontId="35" fillId="0" borderId="0" xfId="4" applyFont="1" applyAlignment="1">
      <alignment horizontal="right" vertical="center"/>
    </xf>
    <xf numFmtId="0" fontId="36" fillId="0" borderId="0" xfId="4" applyFont="1">
      <alignment vertical="center"/>
    </xf>
    <xf numFmtId="0" fontId="2" fillId="0" borderId="1" xfId="2" applyBorder="1"/>
    <xf numFmtId="0" fontId="37" fillId="0" borderId="0" xfId="4" applyFont="1">
      <alignment vertical="center"/>
    </xf>
    <xf numFmtId="0" fontId="0" fillId="0" borderId="53" xfId="0" applyBorder="1" applyAlignment="1">
      <alignment horizontal="center" vertical="center"/>
    </xf>
    <xf numFmtId="0" fontId="38" fillId="0" borderId="0" xfId="4" applyFont="1" applyAlignment="1">
      <alignment horizontal="right" vertical="center"/>
    </xf>
    <xf numFmtId="0" fontId="39" fillId="0" borderId="0" xfId="4" applyFont="1">
      <alignment vertical="center"/>
    </xf>
    <xf numFmtId="0" fontId="0" fillId="4" borderId="3" xfId="0" applyFill="1" applyBorder="1" applyAlignment="1">
      <alignment horizontal="center" vertical="center"/>
    </xf>
    <xf numFmtId="49" fontId="0" fillId="0" borderId="34" xfId="0" applyNumberFormat="1" applyBorder="1" applyAlignment="1">
      <alignment horizontal="center" vertical="center"/>
    </xf>
    <xf numFmtId="0" fontId="9" fillId="0" borderId="74" xfId="2" applyFont="1" applyBorder="1" applyAlignment="1">
      <alignment horizontal="left" vertical="center"/>
    </xf>
    <xf numFmtId="0" fontId="9" fillId="0" borderId="74" xfId="2" applyFont="1" applyBorder="1" applyAlignment="1">
      <alignment horizontal="center" vertical="center"/>
    </xf>
    <xf numFmtId="0" fontId="9" fillId="0" borderId="64" xfId="2" applyFont="1" applyBorder="1" applyAlignment="1">
      <alignment horizontal="center" vertical="center"/>
    </xf>
    <xf numFmtId="5" fontId="2" fillId="0" borderId="0" xfId="2" applyNumberFormat="1"/>
    <xf numFmtId="0" fontId="0" fillId="0" borderId="37" xfId="0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5" xfId="0" applyFill="1" applyBorder="1">
      <alignment vertical="center"/>
    </xf>
    <xf numFmtId="0" fontId="26" fillId="4" borderId="0" xfId="0" applyFont="1" applyFill="1" applyAlignment="1">
      <alignment horizontal="center" vertical="center"/>
    </xf>
    <xf numFmtId="0" fontId="44" fillId="0" borderId="0" xfId="4" applyFont="1">
      <alignment vertical="center"/>
    </xf>
    <xf numFmtId="0" fontId="0" fillId="10" borderId="3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0" fillId="9" borderId="76" xfId="0" applyFont="1" applyFill="1" applyBorder="1" applyAlignment="1">
      <alignment horizontal="center" vertical="center"/>
    </xf>
    <xf numFmtId="0" fontId="30" fillId="9" borderId="49" xfId="0" applyFont="1" applyFill="1" applyBorder="1" applyAlignment="1">
      <alignment horizontal="center" vertical="center"/>
    </xf>
    <xf numFmtId="0" fontId="30" fillId="9" borderId="38" xfId="0" applyFont="1" applyFill="1" applyBorder="1" applyAlignment="1">
      <alignment horizontal="center" vertical="center"/>
    </xf>
    <xf numFmtId="0" fontId="30" fillId="9" borderId="77" xfId="0" applyFont="1" applyFill="1" applyBorder="1" applyAlignment="1">
      <alignment horizontal="center" vertical="center"/>
    </xf>
    <xf numFmtId="0" fontId="45" fillId="9" borderId="38" xfId="0" applyFont="1" applyFill="1" applyBorder="1" applyAlignment="1">
      <alignment horizontal="center" vertical="center"/>
    </xf>
    <xf numFmtId="0" fontId="45" fillId="9" borderId="49" xfId="0" applyFont="1" applyFill="1" applyBorder="1" applyAlignment="1">
      <alignment horizontal="center" vertical="center"/>
    </xf>
    <xf numFmtId="0" fontId="0" fillId="0" borderId="0" xfId="4" applyFont="1">
      <alignment vertical="center"/>
    </xf>
    <xf numFmtId="3" fontId="2" fillId="0" borderId="0" xfId="2" applyNumberFormat="1"/>
    <xf numFmtId="0" fontId="31" fillId="0" borderId="55" xfId="4" applyFont="1" applyBorder="1" applyAlignment="1">
      <alignment horizontal="center" vertical="center" wrapText="1"/>
    </xf>
    <xf numFmtId="0" fontId="31" fillId="0" borderId="70" xfId="4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9" fillId="0" borderId="65" xfId="2" applyFont="1" applyBorder="1" applyAlignment="1">
      <alignment horizontal="center" vertical="center"/>
    </xf>
    <xf numFmtId="0" fontId="0" fillId="8" borderId="51" xfId="0" applyFill="1" applyBorder="1" applyAlignment="1">
      <alignment horizontal="center" vertical="center"/>
    </xf>
    <xf numFmtId="5" fontId="2" fillId="0" borderId="0" xfId="2" applyNumberFormat="1" applyAlignment="1">
      <alignment horizontal="center"/>
    </xf>
    <xf numFmtId="0" fontId="0" fillId="4" borderId="30" xfId="0" applyFill="1" applyBorder="1" applyAlignment="1">
      <alignment horizontal="center" vertical="center"/>
    </xf>
    <xf numFmtId="0" fontId="0" fillId="4" borderId="20" xfId="0" applyFill="1" applyBorder="1">
      <alignment vertical="center"/>
    </xf>
    <xf numFmtId="0" fontId="0" fillId="4" borderId="22" xfId="0" applyFill="1" applyBorder="1" applyAlignment="1">
      <alignment horizontal="center" vertical="center"/>
    </xf>
    <xf numFmtId="0" fontId="0" fillId="4" borderId="16" xfId="0" applyFill="1" applyBorder="1">
      <alignment vertical="center"/>
    </xf>
    <xf numFmtId="0" fontId="0" fillId="5" borderId="30" xfId="0" applyFill="1" applyBorder="1" applyAlignment="1">
      <alignment horizontal="center" vertical="center"/>
    </xf>
    <xf numFmtId="0" fontId="0" fillId="5" borderId="20" xfId="0" applyFill="1" applyBorder="1">
      <alignment vertical="center"/>
    </xf>
    <xf numFmtId="0" fontId="0" fillId="5" borderId="22" xfId="0" applyFill="1" applyBorder="1" applyAlignment="1">
      <alignment horizontal="center" vertical="center"/>
    </xf>
    <xf numFmtId="0" fontId="0" fillId="5" borderId="16" xfId="0" applyFill="1" applyBorder="1">
      <alignment vertical="center"/>
    </xf>
    <xf numFmtId="49" fontId="0" fillId="4" borderId="17" xfId="0" applyNumberFormat="1" applyFill="1" applyBorder="1">
      <alignment vertical="center"/>
    </xf>
    <xf numFmtId="49" fontId="0" fillId="4" borderId="31" xfId="0" applyNumberFormat="1" applyFill="1" applyBorder="1">
      <alignment vertical="center"/>
    </xf>
    <xf numFmtId="0" fontId="0" fillId="4" borderId="43" xfId="0" applyFill="1" applyBorder="1" applyAlignment="1">
      <alignment horizontal="center" vertical="center"/>
    </xf>
    <xf numFmtId="49" fontId="0" fillId="5" borderId="17" xfId="0" applyNumberFormat="1" applyFill="1" applyBorder="1">
      <alignment vertical="center"/>
    </xf>
    <xf numFmtId="49" fontId="0" fillId="5" borderId="31" xfId="0" applyNumberFormat="1" applyFill="1" applyBorder="1">
      <alignment vertical="center"/>
    </xf>
    <xf numFmtId="0" fontId="0" fillId="5" borderId="43" xfId="0" applyFill="1" applyBorder="1" applyAlignment="1">
      <alignment horizontal="center" vertical="center"/>
    </xf>
    <xf numFmtId="0" fontId="0" fillId="5" borderId="17" xfId="0" applyFill="1" applyBorder="1">
      <alignment vertical="center"/>
    </xf>
    <xf numFmtId="0" fontId="0" fillId="5" borderId="29" xfId="0" applyFill="1" applyBorder="1" applyAlignment="1">
      <alignment horizontal="center" vertical="center"/>
    </xf>
    <xf numFmtId="0" fontId="0" fillId="5" borderId="5" xfId="0" applyFill="1" applyBorder="1">
      <alignment vertical="center"/>
    </xf>
    <xf numFmtId="0" fontId="0" fillId="4" borderId="31" xfId="0" applyFill="1" applyBorder="1">
      <alignment vertical="center"/>
    </xf>
    <xf numFmtId="0" fontId="0" fillId="4" borderId="82" xfId="0" applyFill="1" applyBorder="1" applyAlignment="1">
      <alignment horizontal="center" vertical="center"/>
    </xf>
    <xf numFmtId="0" fontId="0" fillId="4" borderId="30" xfId="0" applyFill="1" applyBorder="1">
      <alignment vertical="center"/>
    </xf>
    <xf numFmtId="49" fontId="0" fillId="0" borderId="87" xfId="0" applyNumberFormat="1" applyBorder="1">
      <alignment vertical="center"/>
    </xf>
    <xf numFmtId="49" fontId="0" fillId="4" borderId="111" xfId="0" applyNumberFormat="1" applyFill="1" applyBorder="1">
      <alignment vertical="center"/>
    </xf>
    <xf numFmtId="0" fontId="0" fillId="0" borderId="83" xfId="0" applyBorder="1" applyAlignment="1">
      <alignment horizontal="center" vertical="center"/>
    </xf>
    <xf numFmtId="0" fontId="0" fillId="4" borderId="35" xfId="0" applyFill="1" applyBorder="1" applyAlignment="1">
      <alignment horizontal="center" vertical="center"/>
    </xf>
    <xf numFmtId="0" fontId="0" fillId="0" borderId="19" xfId="0" applyBorder="1">
      <alignment vertical="center"/>
    </xf>
    <xf numFmtId="0" fontId="0" fillId="4" borderId="21" xfId="0" applyFill="1" applyBorder="1">
      <alignment vertical="center"/>
    </xf>
    <xf numFmtId="0" fontId="0" fillId="0" borderId="32" xfId="0" applyBorder="1" applyAlignment="1">
      <alignment horizontal="center" vertical="center"/>
    </xf>
    <xf numFmtId="0" fontId="0" fillId="4" borderId="33" xfId="0" applyFill="1" applyBorder="1" applyAlignment="1">
      <alignment horizontal="center" vertical="center"/>
    </xf>
    <xf numFmtId="0" fontId="0" fillId="0" borderId="15" xfId="0" applyBorder="1">
      <alignment vertical="center"/>
    </xf>
    <xf numFmtId="0" fontId="0" fillId="4" borderId="18" xfId="0" applyFill="1" applyBorder="1">
      <alignment vertical="center"/>
    </xf>
    <xf numFmtId="0" fontId="0" fillId="0" borderId="32" xfId="0" applyBorder="1">
      <alignment vertical="center"/>
    </xf>
    <xf numFmtId="0" fontId="0" fillId="0" borderId="61" xfId="0" applyBorder="1">
      <alignment vertical="center"/>
    </xf>
    <xf numFmtId="0" fontId="0" fillId="4" borderId="62" xfId="0" applyFill="1" applyBorder="1">
      <alignment vertical="center"/>
    </xf>
    <xf numFmtId="0" fontId="0" fillId="4" borderId="121" xfId="0" applyFill="1" applyBorder="1">
      <alignment vertical="center"/>
    </xf>
    <xf numFmtId="49" fontId="0" fillId="0" borderId="19" xfId="0" applyNumberFormat="1" applyBorder="1">
      <alignment vertical="center"/>
    </xf>
    <xf numFmtId="49" fontId="0" fillId="5" borderId="36" xfId="0" applyNumberFormat="1" applyFill="1" applyBorder="1">
      <alignment vertical="center"/>
    </xf>
    <xf numFmtId="49" fontId="0" fillId="4" borderId="125" xfId="0" applyNumberFormat="1" applyFill="1" applyBorder="1">
      <alignment vertical="center"/>
    </xf>
    <xf numFmtId="0" fontId="0" fillId="0" borderId="0" xfId="0" applyAlignment="1">
      <alignment horizontal="right" vertical="center"/>
    </xf>
    <xf numFmtId="0" fontId="0" fillId="11" borderId="16" xfId="0" applyFill="1" applyBorder="1" applyAlignment="1" applyProtection="1">
      <alignment horizontal="left" vertical="center" shrinkToFit="1"/>
      <protection locked="0"/>
    </xf>
    <xf numFmtId="0" fontId="0" fillId="11" borderId="5" xfId="0" applyFill="1" applyBorder="1" applyAlignment="1" applyProtection="1">
      <alignment horizontal="center" vertical="center"/>
      <protection locked="0"/>
    </xf>
    <xf numFmtId="31" fontId="0" fillId="11" borderId="5" xfId="0" applyNumberFormat="1" applyFill="1" applyBorder="1" applyAlignment="1" applyProtection="1">
      <alignment horizontal="center" vertical="center"/>
      <protection locked="0"/>
    </xf>
    <xf numFmtId="176" fontId="0" fillId="11" borderId="5" xfId="0" applyNumberFormat="1" applyFill="1" applyBorder="1" applyAlignment="1" applyProtection="1">
      <alignment horizontal="center" vertical="center"/>
      <protection locked="0"/>
    </xf>
    <xf numFmtId="176" fontId="0" fillId="11" borderId="30" xfId="0" applyNumberFormat="1" applyFill="1" applyBorder="1" applyAlignment="1" applyProtection="1">
      <alignment horizontal="center" vertical="center"/>
      <protection locked="0"/>
    </xf>
    <xf numFmtId="176" fontId="0" fillId="11" borderId="35" xfId="0" applyNumberFormat="1" applyFill="1" applyBorder="1" applyAlignment="1" applyProtection="1">
      <alignment horizontal="center" vertical="center"/>
      <protection locked="0"/>
    </xf>
    <xf numFmtId="176" fontId="0" fillId="11" borderId="4" xfId="0" applyNumberFormat="1" applyFill="1" applyBorder="1" applyAlignment="1" applyProtection="1">
      <alignment horizontal="center" vertical="center"/>
      <protection locked="0"/>
    </xf>
    <xf numFmtId="176" fontId="0" fillId="11" borderId="43" xfId="0" applyNumberFormat="1" applyFill="1" applyBorder="1" applyAlignment="1" applyProtection="1">
      <alignment horizontal="center" vertical="center"/>
      <protection locked="0"/>
    </xf>
    <xf numFmtId="49" fontId="0" fillId="11" borderId="15" xfId="0" applyNumberFormat="1" applyFill="1" applyBorder="1" applyAlignment="1" applyProtection="1">
      <alignment horizontal="center" vertical="center"/>
      <protection locked="0"/>
    </xf>
    <xf numFmtId="49" fontId="0" fillId="11" borderId="30" xfId="0" applyNumberFormat="1" applyFill="1" applyBorder="1" applyAlignment="1" applyProtection="1">
      <alignment horizontal="center" vertical="center"/>
      <protection locked="0"/>
    </xf>
    <xf numFmtId="49" fontId="0" fillId="11" borderId="16" xfId="0" applyNumberFormat="1" applyFill="1" applyBorder="1" applyAlignment="1" applyProtection="1">
      <alignment horizontal="center" vertical="center"/>
      <protection locked="0"/>
    </xf>
    <xf numFmtId="49" fontId="0" fillId="11" borderId="35" xfId="0" applyNumberFormat="1" applyFill="1" applyBorder="1" applyAlignment="1" applyProtection="1">
      <alignment horizontal="center" vertical="center"/>
      <protection locked="0"/>
    </xf>
    <xf numFmtId="176" fontId="0" fillId="11" borderId="15" xfId="0" applyNumberFormat="1" applyFill="1" applyBorder="1" applyAlignment="1" applyProtection="1">
      <alignment horizontal="center" vertical="center"/>
      <protection locked="0"/>
    </xf>
    <xf numFmtId="49" fontId="0" fillId="11" borderId="85" xfId="0" applyNumberFormat="1" applyFill="1" applyBorder="1" applyAlignment="1" applyProtection="1">
      <alignment horizontal="center" vertical="center"/>
      <protection locked="0"/>
    </xf>
    <xf numFmtId="0" fontId="40" fillId="0" borderId="30" xfId="0" applyFont="1" applyBorder="1" applyAlignment="1">
      <alignment horizontal="center" vertical="center"/>
    </xf>
    <xf numFmtId="0" fontId="29" fillId="0" borderId="0" xfId="0" applyFont="1">
      <alignment vertical="center"/>
    </xf>
    <xf numFmtId="0" fontId="29" fillId="0" borderId="0" xfId="0" applyFont="1" applyAlignment="1">
      <alignment horizontal="center" vertical="center"/>
    </xf>
    <xf numFmtId="176" fontId="29" fillId="0" borderId="0" xfId="0" applyNumberFormat="1" applyFont="1">
      <alignment vertical="center"/>
    </xf>
    <xf numFmtId="0" fontId="27" fillId="0" borderId="0" xfId="0" applyFont="1">
      <alignment vertical="center"/>
    </xf>
    <xf numFmtId="0" fontId="42" fillId="0" borderId="0" xfId="0" applyFont="1" applyAlignment="1">
      <alignment horizontal="center" vertical="center"/>
    </xf>
    <xf numFmtId="176" fontId="42" fillId="0" borderId="0" xfId="0" applyNumberFormat="1" applyFont="1">
      <alignment vertical="center"/>
    </xf>
    <xf numFmtId="176" fontId="0" fillId="0" borderId="0" xfId="0" applyNumberFormat="1">
      <alignment vertical="center"/>
    </xf>
    <xf numFmtId="0" fontId="22" fillId="0" borderId="0" xfId="3" applyAlignment="1">
      <alignment horizontal="center" vertical="center"/>
    </xf>
    <xf numFmtId="38" fontId="22" fillId="0" borderId="0" xfId="1" applyProtection="1">
      <alignment vertical="center"/>
    </xf>
    <xf numFmtId="0" fontId="13" fillId="0" borderId="10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176" fontId="40" fillId="0" borderId="25" xfId="0" applyNumberFormat="1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shrinkToFit="1"/>
    </xf>
    <xf numFmtId="0" fontId="0" fillId="0" borderId="13" xfId="0" applyBorder="1">
      <alignment vertical="center"/>
    </xf>
    <xf numFmtId="0" fontId="0" fillId="0" borderId="112" xfId="0" applyBorder="1">
      <alignment vertical="center"/>
    </xf>
    <xf numFmtId="0" fontId="0" fillId="0" borderId="14" xfId="0" applyBorder="1">
      <alignment vertical="center"/>
    </xf>
    <xf numFmtId="0" fontId="0" fillId="0" borderId="5" xfId="0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38" fontId="22" fillId="8" borderId="38" xfId="1" applyFill="1" applyBorder="1" applyAlignment="1" applyProtection="1">
      <alignment horizontal="right" vertical="center"/>
    </xf>
    <xf numFmtId="0" fontId="0" fillId="0" borderId="15" xfId="0" applyBorder="1" applyAlignment="1">
      <alignment horizontal="center" vertical="center"/>
    </xf>
    <xf numFmtId="176" fontId="0" fillId="0" borderId="30" xfId="0" applyNumberFormat="1" applyBorder="1" applyAlignment="1">
      <alignment horizontal="center" vertical="center"/>
    </xf>
    <xf numFmtId="176" fontId="0" fillId="0" borderId="35" xfId="0" applyNumberFormat="1" applyBorder="1" applyAlignment="1">
      <alignment horizontal="center" vertical="center"/>
    </xf>
    <xf numFmtId="176" fontId="0" fillId="0" borderId="43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176" fontId="0" fillId="0" borderId="16" xfId="0" applyNumberFormat="1" applyBorder="1" applyAlignment="1">
      <alignment horizontal="center" vertical="center"/>
    </xf>
    <xf numFmtId="176" fontId="0" fillId="0" borderId="71" xfId="0" applyNumberFormat="1" applyBorder="1" applyAlignment="1">
      <alignment horizontal="center" vertical="center"/>
    </xf>
    <xf numFmtId="49" fontId="0" fillId="0" borderId="35" xfId="0" applyNumberForma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49" fontId="0" fillId="0" borderId="30" xfId="0" applyNumberFormat="1" applyBorder="1" applyAlignment="1">
      <alignment horizontal="center" vertical="center"/>
    </xf>
    <xf numFmtId="0" fontId="23" fillId="0" borderId="22" xfId="0" applyFont="1" applyBorder="1">
      <alignment vertical="center"/>
    </xf>
    <xf numFmtId="0" fontId="0" fillId="0" borderId="22" xfId="0" applyBorder="1">
      <alignment vertical="center"/>
    </xf>
    <xf numFmtId="38" fontId="22" fillId="8" borderId="39" xfId="1" applyFill="1" applyBorder="1" applyAlignment="1" applyProtection="1">
      <alignment horizontal="right" vertical="center"/>
    </xf>
    <xf numFmtId="0" fontId="0" fillId="0" borderId="75" xfId="0" applyBorder="1" applyAlignment="1">
      <alignment horizontal="center" vertical="center"/>
    </xf>
    <xf numFmtId="0" fontId="0" fillId="0" borderId="20" xfId="0" applyBorder="1">
      <alignment vertical="center"/>
    </xf>
    <xf numFmtId="38" fontId="22" fillId="8" borderId="40" xfId="1" applyFill="1" applyBorder="1" applyAlignment="1" applyProtection="1">
      <alignment horizontal="right" vertical="center"/>
    </xf>
    <xf numFmtId="49" fontId="0" fillId="0" borderId="31" xfId="0" applyNumberFormat="1" applyBorder="1" applyAlignment="1">
      <alignment horizontal="center" vertical="center"/>
    </xf>
    <xf numFmtId="176" fontId="0" fillId="0" borderId="42" xfId="0" applyNumberFormat="1" applyBorder="1" applyAlignment="1">
      <alignment horizontal="center" vertical="center"/>
    </xf>
    <xf numFmtId="176" fontId="0" fillId="0" borderId="31" xfId="0" applyNumberFormat="1" applyBorder="1" applyAlignment="1">
      <alignment horizontal="center" vertical="center"/>
    </xf>
    <xf numFmtId="176" fontId="0" fillId="0" borderId="36" xfId="0" applyNumberFormat="1" applyBorder="1" applyAlignment="1">
      <alignment horizontal="center" vertical="center"/>
    </xf>
    <xf numFmtId="176" fontId="0" fillId="0" borderId="19" xfId="0" applyNumberFormat="1" applyBorder="1" applyAlignment="1">
      <alignment horizontal="center" vertical="center"/>
    </xf>
    <xf numFmtId="176" fontId="0" fillId="0" borderId="46" xfId="0" applyNumberFormat="1" applyBorder="1" applyAlignment="1">
      <alignment horizontal="center" vertical="center"/>
    </xf>
    <xf numFmtId="176" fontId="0" fillId="0" borderId="20" xfId="0" applyNumberFormat="1" applyBorder="1" applyAlignment="1">
      <alignment horizontal="center" vertical="center"/>
    </xf>
    <xf numFmtId="49" fontId="0" fillId="0" borderId="36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38" fontId="22" fillId="0" borderId="0" xfId="1" applyAlignment="1" applyProtection="1">
      <alignment horizontal="center" vertical="center"/>
    </xf>
    <xf numFmtId="177" fontId="13" fillId="0" borderId="0" xfId="0" applyNumberFormat="1" applyFont="1" applyAlignment="1">
      <alignment horizontal="left" vertical="center"/>
    </xf>
    <xf numFmtId="0" fontId="0" fillId="0" borderId="55" xfId="0" applyBorder="1">
      <alignment vertical="center"/>
    </xf>
    <xf numFmtId="0" fontId="0" fillId="0" borderId="56" xfId="0" applyBorder="1">
      <alignment vertical="center"/>
    </xf>
    <xf numFmtId="0" fontId="0" fillId="0" borderId="59" xfId="0" applyBorder="1" applyAlignment="1">
      <alignment horizontal="center" vertical="center"/>
    </xf>
    <xf numFmtId="176" fontId="0" fillId="0" borderId="41" xfId="0" applyNumberFormat="1" applyBorder="1" applyAlignment="1">
      <alignment horizontal="center" vertical="center"/>
    </xf>
    <xf numFmtId="38" fontId="22" fillId="8" borderId="50" xfId="1" applyFill="1" applyBorder="1" applyAlignment="1" applyProtection="1">
      <alignment horizontal="right" vertical="center"/>
    </xf>
    <xf numFmtId="0" fontId="0" fillId="0" borderId="55" xfId="0" applyBorder="1" applyAlignment="1">
      <alignment horizontal="center" vertical="center"/>
    </xf>
    <xf numFmtId="176" fontId="0" fillId="0" borderId="57" xfId="0" applyNumberFormat="1" applyBorder="1" applyAlignment="1">
      <alignment horizontal="center" vertical="center"/>
    </xf>
    <xf numFmtId="176" fontId="0" fillId="0" borderId="60" xfId="0" applyNumberFormat="1" applyBorder="1" applyAlignment="1">
      <alignment horizontal="center" vertical="center"/>
    </xf>
    <xf numFmtId="176" fontId="0" fillId="0" borderId="55" xfId="0" applyNumberFormat="1" applyBorder="1" applyAlignment="1">
      <alignment horizontal="center" vertical="center"/>
    </xf>
    <xf numFmtId="176" fontId="0" fillId="0" borderId="70" xfId="0" applyNumberFormat="1" applyBorder="1" applyAlignment="1">
      <alignment horizontal="center" vertical="center"/>
    </xf>
    <xf numFmtId="176" fontId="0" fillId="0" borderId="56" xfId="0" applyNumberFormat="1" applyBorder="1" applyAlignment="1">
      <alignment horizontal="center" vertical="center"/>
    </xf>
    <xf numFmtId="49" fontId="0" fillId="0" borderId="60" xfId="0" applyNumberFormat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49" fontId="0" fillId="0" borderId="57" xfId="0" applyNumberFormat="1" applyBorder="1" applyAlignment="1">
      <alignment horizontal="center" vertical="center"/>
    </xf>
    <xf numFmtId="0" fontId="30" fillId="4" borderId="1" xfId="0" applyFont="1" applyFill="1" applyBorder="1">
      <alignment vertical="center"/>
    </xf>
    <xf numFmtId="0" fontId="30" fillId="4" borderId="0" xfId="0" applyFont="1" applyFill="1" applyAlignment="1">
      <alignment horizontal="center" vertical="center"/>
    </xf>
    <xf numFmtId="0" fontId="30" fillId="4" borderId="0" xfId="0" applyFont="1" applyFill="1">
      <alignment vertical="center"/>
    </xf>
    <xf numFmtId="0" fontId="0" fillId="0" borderId="42" xfId="0" applyBorder="1" applyAlignment="1">
      <alignment horizontal="right" vertical="center"/>
    </xf>
    <xf numFmtId="38" fontId="41" fillId="0" borderId="34" xfId="0" applyNumberFormat="1" applyFont="1" applyBorder="1">
      <alignment vertical="center"/>
    </xf>
    <xf numFmtId="176" fontId="0" fillId="0" borderId="0" xfId="0" applyNumberFormat="1" applyAlignment="1">
      <alignment horizontal="center" vertical="center"/>
    </xf>
    <xf numFmtId="0" fontId="26" fillId="0" borderId="0" xfId="0" applyFont="1" applyAlignment="1">
      <alignment horizontal="center"/>
    </xf>
    <xf numFmtId="0" fontId="0" fillId="5" borderId="75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/>
    </xf>
    <xf numFmtId="0" fontId="30" fillId="4" borderId="54" xfId="0" applyFont="1" applyFill="1" applyBorder="1">
      <alignment vertical="center"/>
    </xf>
    <xf numFmtId="0" fontId="30" fillId="4" borderId="78" xfId="0" applyFont="1" applyFill="1" applyBorder="1">
      <alignment vertical="center"/>
    </xf>
    <xf numFmtId="0" fontId="30" fillId="4" borderId="80" xfId="0" applyFont="1" applyFill="1" applyBorder="1">
      <alignment vertical="center"/>
    </xf>
    <xf numFmtId="38" fontId="24" fillId="0" borderId="0" xfId="0" applyNumberFormat="1" applyFont="1">
      <alignment vertical="center"/>
    </xf>
    <xf numFmtId="177" fontId="0" fillId="0" borderId="0" xfId="0" applyNumberFormat="1">
      <alignment vertical="center"/>
    </xf>
    <xf numFmtId="177" fontId="26" fillId="0" borderId="0" xfId="0" applyNumberFormat="1" applyFont="1" applyAlignment="1">
      <alignment vertical="center" wrapText="1"/>
    </xf>
    <xf numFmtId="177" fontId="13" fillId="4" borderId="24" xfId="0" applyNumberFormat="1" applyFont="1" applyFill="1" applyBorder="1" applyAlignment="1">
      <alignment horizontal="center" vertical="center"/>
    </xf>
    <xf numFmtId="177" fontId="0" fillId="0" borderId="3" xfId="0" applyNumberFormat="1" applyBorder="1">
      <alignment vertical="center"/>
    </xf>
    <xf numFmtId="177" fontId="13" fillId="7" borderId="3" xfId="0" applyNumberFormat="1" applyFont="1" applyFill="1" applyBorder="1" applyAlignment="1">
      <alignment horizontal="center" vertical="center"/>
    </xf>
    <xf numFmtId="177" fontId="20" fillId="7" borderId="3" xfId="0" applyNumberFormat="1" applyFont="1" applyFill="1" applyBorder="1" applyAlignment="1">
      <alignment horizontal="center" vertical="center" wrapText="1"/>
    </xf>
    <xf numFmtId="177" fontId="2" fillId="7" borderId="81" xfId="0" applyNumberFormat="1" applyFont="1" applyFill="1" applyBorder="1" applyAlignment="1">
      <alignment horizontal="center" vertical="center"/>
    </xf>
    <xf numFmtId="177" fontId="13" fillId="0" borderId="23" xfId="3" applyNumberFormat="1" applyFont="1" applyBorder="1" applyAlignment="1">
      <alignment horizontal="center" vertical="center"/>
    </xf>
    <xf numFmtId="177" fontId="13" fillId="4" borderId="51" xfId="0" applyNumberFormat="1" applyFont="1" applyFill="1" applyBorder="1" applyAlignment="1">
      <alignment horizontal="center" vertical="center"/>
    </xf>
    <xf numFmtId="177" fontId="13" fillId="4" borderId="12" xfId="0" applyNumberFormat="1" applyFont="1" applyFill="1" applyBorder="1" applyAlignment="1">
      <alignment horizontal="center" vertical="center"/>
    </xf>
    <xf numFmtId="177" fontId="13" fillId="4" borderId="10" xfId="0" applyNumberFormat="1" applyFont="1" applyFill="1" applyBorder="1" applyAlignment="1">
      <alignment horizontal="center" vertical="center"/>
    </xf>
    <xf numFmtId="177" fontId="20" fillId="4" borderId="10" xfId="0" applyNumberFormat="1" applyFont="1" applyFill="1" applyBorder="1" applyAlignment="1">
      <alignment horizontal="center" vertical="center" wrapText="1"/>
    </xf>
    <xf numFmtId="177" fontId="13" fillId="4" borderId="124" xfId="0" applyNumberFormat="1" applyFont="1" applyFill="1" applyBorder="1" applyAlignment="1">
      <alignment horizontal="center" vertical="center"/>
    </xf>
    <xf numFmtId="177" fontId="13" fillId="0" borderId="0" xfId="0" applyNumberFormat="1" applyFont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0" fillId="7" borderId="34" xfId="0" applyFill="1" applyBorder="1">
      <alignment vertical="center"/>
    </xf>
    <xf numFmtId="49" fontId="0" fillId="7" borderId="0" xfId="0" applyNumberFormat="1" applyFill="1" applyAlignment="1">
      <alignment horizontal="center" vertical="center"/>
    </xf>
    <xf numFmtId="0" fontId="0" fillId="7" borderId="16" xfId="0" applyFill="1" applyBorder="1">
      <alignment vertical="center"/>
    </xf>
    <xf numFmtId="0" fontId="26" fillId="4" borderId="0" xfId="0" applyFont="1" applyFill="1">
      <alignment vertical="center"/>
    </xf>
    <xf numFmtId="0" fontId="28" fillId="4" borderId="67" xfId="0" applyFont="1" applyFill="1" applyBorder="1" applyAlignment="1">
      <alignment horizontal="center" vertical="center"/>
    </xf>
    <xf numFmtId="49" fontId="0" fillId="4" borderId="126" xfId="0" applyNumberFormat="1" applyFill="1" applyBorder="1" applyAlignment="1">
      <alignment horizontal="center" vertical="center"/>
    </xf>
    <xf numFmtId="0" fontId="26" fillId="4" borderId="126" xfId="0" applyFont="1" applyFill="1" applyBorder="1">
      <alignment vertical="center"/>
    </xf>
    <xf numFmtId="38" fontId="22" fillId="0" borderId="67" xfId="1" applyBorder="1" applyProtection="1">
      <alignment vertical="center"/>
    </xf>
    <xf numFmtId="49" fontId="0" fillId="7" borderId="43" xfId="0" applyNumberFormat="1" applyFill="1" applyBorder="1" applyAlignment="1">
      <alignment horizontal="center" vertical="center"/>
    </xf>
    <xf numFmtId="0" fontId="0" fillId="7" borderId="3" xfId="0" applyFill="1" applyBorder="1">
      <alignment vertical="center"/>
    </xf>
    <xf numFmtId="49" fontId="0" fillId="4" borderId="16" xfId="0" applyNumberFormat="1" applyFill="1" applyBorder="1" applyAlignment="1">
      <alignment horizontal="center" vertical="center"/>
    </xf>
    <xf numFmtId="0" fontId="26" fillId="4" borderId="16" xfId="0" applyFont="1" applyFill="1" applyBorder="1">
      <alignment vertical="center"/>
    </xf>
    <xf numFmtId="38" fontId="22" fillId="0" borderId="28" xfId="1" applyBorder="1" applyProtection="1">
      <alignment vertical="center"/>
    </xf>
    <xf numFmtId="49" fontId="0" fillId="7" borderId="46" xfId="0" applyNumberFormat="1" applyFill="1" applyBorder="1" applyAlignment="1">
      <alignment horizontal="center" vertical="center"/>
    </xf>
    <xf numFmtId="49" fontId="0" fillId="4" borderId="20" xfId="0" applyNumberFormat="1" applyFill="1" applyBorder="1" applyAlignment="1">
      <alignment horizontal="center" vertical="center"/>
    </xf>
    <xf numFmtId="0" fontId="26" fillId="4" borderId="20" xfId="0" applyFont="1" applyFill="1" applyBorder="1">
      <alignment vertical="center"/>
    </xf>
    <xf numFmtId="49" fontId="0" fillId="7" borderId="1" xfId="0" applyNumberFormat="1" applyFill="1" applyBorder="1" applyAlignment="1">
      <alignment horizontal="center" vertical="center"/>
    </xf>
    <xf numFmtId="49" fontId="0" fillId="4" borderId="62" xfId="0" applyNumberForma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8" fontId="22" fillId="0" borderId="0" xfId="1" applyAlignment="1" applyProtection="1">
      <alignment horizontal="right" vertical="center"/>
    </xf>
    <xf numFmtId="0" fontId="22" fillId="0" borderId="0" xfId="3">
      <alignment vertical="center"/>
    </xf>
    <xf numFmtId="0" fontId="28" fillId="11" borderId="30" xfId="0" applyFont="1" applyFill="1" applyBorder="1" applyAlignment="1" applyProtection="1">
      <alignment horizontal="center" vertical="center"/>
      <protection locked="0"/>
    </xf>
    <xf numFmtId="0" fontId="0" fillId="11" borderId="30" xfId="0" applyFill="1" applyBorder="1" applyAlignment="1" applyProtection="1">
      <alignment horizontal="center" vertical="center"/>
      <protection locked="0"/>
    </xf>
    <xf numFmtId="49" fontId="0" fillId="11" borderId="127" xfId="0" applyNumberFormat="1" applyFill="1" applyBorder="1" applyAlignment="1" applyProtection="1">
      <alignment horizontal="center" vertical="center"/>
      <protection locked="0"/>
    </xf>
    <xf numFmtId="49" fontId="0" fillId="11" borderId="128" xfId="0" applyNumberFormat="1" applyFill="1" applyBorder="1" applyAlignment="1" applyProtection="1">
      <alignment horizontal="center" vertical="center"/>
      <protection locked="0"/>
    </xf>
    <xf numFmtId="176" fontId="0" fillId="11" borderId="128" xfId="0" applyNumberFormat="1" applyFill="1" applyBorder="1" applyAlignment="1" applyProtection="1">
      <alignment horizontal="center" vertical="center"/>
      <protection locked="0"/>
    </xf>
    <xf numFmtId="0" fontId="0" fillId="11" borderId="129" xfId="0" applyFill="1" applyBorder="1" applyAlignment="1" applyProtection="1">
      <alignment horizontal="center" vertical="center"/>
      <protection locked="0"/>
    </xf>
    <xf numFmtId="0" fontId="0" fillId="11" borderId="130" xfId="0" applyFill="1" applyBorder="1" applyAlignment="1" applyProtection="1">
      <alignment horizontal="center" vertical="center"/>
      <protection locked="0"/>
    </xf>
    <xf numFmtId="0" fontId="0" fillId="11" borderId="127" xfId="0" applyFill="1" applyBorder="1" applyAlignment="1" applyProtection="1">
      <alignment horizontal="center" vertical="center"/>
      <protection locked="0"/>
    </xf>
    <xf numFmtId="0" fontId="0" fillId="11" borderId="128" xfId="0" applyFill="1" applyBorder="1" applyAlignment="1" applyProtection="1">
      <alignment horizontal="center" vertical="center"/>
      <protection locked="0"/>
    </xf>
    <xf numFmtId="176" fontId="0" fillId="0" borderId="29" xfId="0" applyNumberFormat="1" applyBorder="1" applyAlignment="1">
      <alignment horizontal="center" vertical="center"/>
    </xf>
    <xf numFmtId="176" fontId="0" fillId="0" borderId="29" xfId="0" applyNumberFormat="1" applyBorder="1">
      <alignment vertical="center"/>
    </xf>
    <xf numFmtId="0" fontId="0" fillId="0" borderId="82" xfId="0" applyBorder="1">
      <alignment vertical="center"/>
    </xf>
    <xf numFmtId="176" fontId="0" fillId="0" borderId="5" xfId="0" applyNumberFormat="1" applyBorder="1">
      <alignment vertical="center"/>
    </xf>
    <xf numFmtId="0" fontId="0" fillId="0" borderId="30" xfId="0" applyBorder="1">
      <alignment vertical="center"/>
    </xf>
    <xf numFmtId="0" fontId="0" fillId="5" borderId="8" xfId="0" applyFill="1" applyBorder="1">
      <alignment vertical="center"/>
    </xf>
    <xf numFmtId="0" fontId="0" fillId="5" borderId="131" xfId="0" applyFill="1" applyBorder="1">
      <alignment vertical="center"/>
    </xf>
    <xf numFmtId="0" fontId="0" fillId="5" borderId="55" xfId="0" applyFill="1" applyBorder="1" applyAlignment="1">
      <alignment horizontal="center" vertical="center"/>
    </xf>
    <xf numFmtId="0" fontId="0" fillId="5" borderId="56" xfId="0" applyFill="1" applyBorder="1" applyAlignment="1">
      <alignment horizontal="center" vertical="center"/>
    </xf>
    <xf numFmtId="0" fontId="0" fillId="5" borderId="58" xfId="0" applyFill="1" applyBorder="1" applyAlignment="1">
      <alignment horizontal="center" vertical="center"/>
    </xf>
    <xf numFmtId="0" fontId="0" fillId="0" borderId="0" xfId="4" applyFont="1" applyAlignment="1">
      <alignment horizontal="left" vertical="center"/>
    </xf>
    <xf numFmtId="177" fontId="0" fillId="0" borderId="20" xfId="0" applyNumberFormat="1" applyBorder="1">
      <alignment vertical="center"/>
    </xf>
    <xf numFmtId="177" fontId="0" fillId="0" borderId="22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77" fontId="13" fillId="4" borderId="84" xfId="0" applyNumberFormat="1" applyFont="1" applyFill="1" applyBorder="1" applyAlignment="1">
      <alignment horizontal="center" vertical="center"/>
    </xf>
    <xf numFmtId="0" fontId="26" fillId="4" borderId="86" xfId="0" applyFont="1" applyFill="1" applyBorder="1">
      <alignment vertical="center"/>
    </xf>
    <xf numFmtId="0" fontId="26" fillId="4" borderId="5" xfId="0" applyFont="1" applyFill="1" applyBorder="1">
      <alignment vertical="center"/>
    </xf>
    <xf numFmtId="0" fontId="26" fillId="4" borderId="17" xfId="0" applyFont="1" applyFill="1" applyBorder="1">
      <alignment vertical="center"/>
    </xf>
    <xf numFmtId="0" fontId="26" fillId="4" borderId="28" xfId="0" applyFont="1" applyFill="1" applyBorder="1">
      <alignment vertical="center"/>
    </xf>
    <xf numFmtId="0" fontId="26" fillId="4" borderId="88" xfId="0" applyFont="1" applyFill="1" applyBorder="1">
      <alignment vertical="center"/>
    </xf>
    <xf numFmtId="0" fontId="47" fillId="0" borderId="3" xfId="0" applyFont="1" applyBorder="1">
      <alignment vertical="center"/>
    </xf>
    <xf numFmtId="38" fontId="47" fillId="0" borderId="3" xfId="1" applyFont="1" applyBorder="1">
      <alignment vertical="center"/>
    </xf>
    <xf numFmtId="0" fontId="47" fillId="0" borderId="0" xfId="0" applyFont="1">
      <alignment vertical="center"/>
    </xf>
    <xf numFmtId="38" fontId="47" fillId="0" borderId="3" xfId="1" applyFont="1" applyBorder="1" applyAlignment="1">
      <alignment horizontal="right" vertical="center"/>
    </xf>
    <xf numFmtId="38" fontId="0" fillId="0" borderId="0" xfId="0" applyNumberFormat="1" applyAlignment="1">
      <alignment horizontal="center" vertical="center"/>
    </xf>
    <xf numFmtId="38" fontId="0" fillId="0" borderId="0" xfId="1" applyFont="1" applyProtection="1">
      <alignment vertical="center"/>
    </xf>
    <xf numFmtId="177" fontId="13" fillId="4" borderId="11" xfId="0" applyNumberFormat="1" applyFont="1" applyFill="1" applyBorder="1" applyAlignment="1">
      <alignment horizontal="center" vertical="center"/>
    </xf>
    <xf numFmtId="177" fontId="13" fillId="4" borderId="37" xfId="0" applyNumberFormat="1" applyFont="1" applyFill="1" applyBorder="1" applyAlignment="1">
      <alignment horizontal="center" vertical="center"/>
    </xf>
    <xf numFmtId="0" fontId="28" fillId="4" borderId="32" xfId="0" applyFont="1" applyFill="1" applyBorder="1" applyAlignment="1">
      <alignment horizontal="center" vertical="center"/>
    </xf>
    <xf numFmtId="0" fontId="2" fillId="0" borderId="43" xfId="2" applyBorder="1" applyAlignment="1">
      <alignment horizontal="left"/>
    </xf>
    <xf numFmtId="0" fontId="2" fillId="0" borderId="43" xfId="2" applyBorder="1" applyAlignment="1">
      <alignment horizontal="right"/>
    </xf>
    <xf numFmtId="0" fontId="2" fillId="0" borderId="44" xfId="2" applyBorder="1" applyAlignment="1">
      <alignment horizontal="right"/>
    </xf>
    <xf numFmtId="0" fontId="2" fillId="0" borderId="46" xfId="2" applyBorder="1"/>
    <xf numFmtId="0" fontId="2" fillId="0" borderId="44" xfId="2" applyBorder="1" applyAlignment="1">
      <alignment horizontal="left"/>
    </xf>
    <xf numFmtId="0" fontId="11" fillId="2" borderId="65" xfId="2" applyFont="1" applyFill="1" applyBorder="1" applyAlignment="1">
      <alignment horizontal="center" vertical="center" shrinkToFit="1"/>
    </xf>
    <xf numFmtId="0" fontId="45" fillId="9" borderId="50" xfId="0" applyFont="1" applyFill="1" applyBorder="1" applyAlignment="1">
      <alignment horizontal="center" vertical="center"/>
    </xf>
    <xf numFmtId="0" fontId="2" fillId="0" borderId="65" xfId="2" applyBorder="1" applyAlignment="1">
      <alignment horizontal="center"/>
    </xf>
    <xf numFmtId="0" fontId="30" fillId="0" borderId="0" xfId="0" applyFont="1" applyAlignment="1">
      <alignment horizontal="center" vertical="center"/>
    </xf>
    <xf numFmtId="0" fontId="30" fillId="0" borderId="54" xfId="0" applyFont="1" applyBorder="1">
      <alignment vertical="center"/>
    </xf>
    <xf numFmtId="177" fontId="13" fillId="0" borderId="11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0" fillId="11" borderId="57" xfId="0" applyFill="1" applyBorder="1" applyAlignment="1" applyProtection="1">
      <alignment horizontal="center" vertical="center"/>
      <protection locked="0"/>
    </xf>
    <xf numFmtId="0" fontId="0" fillId="11" borderId="56" xfId="0" applyFill="1" applyBorder="1" applyAlignment="1" applyProtection="1">
      <alignment horizontal="left" vertical="center" shrinkToFit="1"/>
      <protection locked="0"/>
    </xf>
    <xf numFmtId="0" fontId="0" fillId="11" borderId="41" xfId="0" applyFill="1" applyBorder="1" applyAlignment="1" applyProtection="1">
      <alignment horizontal="center" vertical="center"/>
      <protection locked="0"/>
    </xf>
    <xf numFmtId="176" fontId="0" fillId="11" borderId="41" xfId="0" applyNumberFormat="1" applyFill="1" applyBorder="1" applyAlignment="1" applyProtection="1">
      <alignment horizontal="center" vertical="center"/>
      <protection locked="0"/>
    </xf>
    <xf numFmtId="176" fontId="0" fillId="11" borderId="57" xfId="0" applyNumberFormat="1" applyFill="1" applyBorder="1" applyAlignment="1" applyProtection="1">
      <alignment horizontal="center" vertical="center"/>
      <protection locked="0"/>
    </xf>
    <xf numFmtId="176" fontId="0" fillId="11" borderId="60" xfId="0" applyNumberFormat="1" applyFill="1" applyBorder="1" applyAlignment="1" applyProtection="1">
      <alignment horizontal="center" vertical="center"/>
      <protection locked="0"/>
    </xf>
    <xf numFmtId="176" fontId="0" fillId="11" borderId="55" xfId="0" applyNumberFormat="1" applyFill="1" applyBorder="1" applyAlignment="1" applyProtection="1">
      <alignment horizontal="center" vertical="center"/>
      <protection locked="0"/>
    </xf>
    <xf numFmtId="176" fontId="0" fillId="11" borderId="70" xfId="0" applyNumberFormat="1" applyFill="1" applyBorder="1" applyAlignment="1" applyProtection="1">
      <alignment horizontal="center" vertical="center"/>
      <protection locked="0"/>
    </xf>
    <xf numFmtId="49" fontId="0" fillId="11" borderId="55" xfId="0" applyNumberFormat="1" applyFill="1" applyBorder="1" applyAlignment="1" applyProtection="1">
      <alignment horizontal="center" vertical="center"/>
      <protection locked="0"/>
    </xf>
    <xf numFmtId="49" fontId="0" fillId="11" borderId="57" xfId="0" applyNumberFormat="1" applyFill="1" applyBorder="1" applyAlignment="1" applyProtection="1">
      <alignment horizontal="center" vertical="center"/>
      <protection locked="0"/>
    </xf>
    <xf numFmtId="49" fontId="0" fillId="11" borderId="56" xfId="0" applyNumberFormat="1" applyFill="1" applyBorder="1" applyAlignment="1" applyProtection="1">
      <alignment horizontal="center" vertical="center"/>
      <protection locked="0"/>
    </xf>
    <xf numFmtId="176" fontId="0" fillId="11" borderId="132" xfId="0" applyNumberFormat="1" applyFill="1" applyBorder="1" applyAlignment="1" applyProtection="1">
      <alignment horizontal="center" vertical="center"/>
      <protection locked="0"/>
    </xf>
    <xf numFmtId="49" fontId="0" fillId="11" borderId="60" xfId="0" applyNumberFormat="1" applyFill="1" applyBorder="1" applyAlignment="1" applyProtection="1">
      <alignment horizontal="center" vertical="center"/>
      <protection locked="0"/>
    </xf>
    <xf numFmtId="0" fontId="0" fillId="11" borderId="133" xfId="0" applyFill="1" applyBorder="1" applyAlignment="1" applyProtection="1">
      <alignment horizontal="center" vertical="center"/>
      <protection locked="0"/>
    </xf>
    <xf numFmtId="0" fontId="0" fillId="11" borderId="132" xfId="0" applyFill="1" applyBorder="1" applyAlignment="1" applyProtection="1">
      <alignment horizontal="center" vertical="center"/>
      <protection locked="0"/>
    </xf>
    <xf numFmtId="49" fontId="0" fillId="11" borderId="132" xfId="0" applyNumberFormat="1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11" fillId="2" borderId="85" xfId="2" applyFont="1" applyFill="1" applyBorder="1" applyAlignment="1">
      <alignment horizontal="center" vertical="center" shrinkToFit="1"/>
    </xf>
    <xf numFmtId="0" fontId="11" fillId="2" borderId="35" xfId="2" applyFont="1" applyFill="1" applyBorder="1" applyAlignment="1">
      <alignment horizontal="center" vertical="center" shrinkToFit="1"/>
    </xf>
    <xf numFmtId="0" fontId="13" fillId="0" borderId="93" xfId="0" applyFont="1" applyBorder="1" applyAlignment="1">
      <alignment horizontal="center" vertical="center"/>
    </xf>
    <xf numFmtId="176" fontId="0" fillId="0" borderId="38" xfId="0" applyNumberFormat="1" applyBorder="1" applyAlignment="1">
      <alignment horizontal="center" vertical="center"/>
    </xf>
    <xf numFmtId="176" fontId="0" fillId="0" borderId="40" xfId="0" applyNumberFormat="1" applyBorder="1" applyAlignment="1">
      <alignment horizontal="center" vertical="center"/>
    </xf>
    <xf numFmtId="176" fontId="0" fillId="0" borderId="50" xfId="0" applyNumberFormat="1" applyBorder="1" applyAlignment="1">
      <alignment horizontal="center" vertical="center"/>
    </xf>
    <xf numFmtId="176" fontId="0" fillId="11" borderId="38" xfId="0" applyNumberFormat="1" applyFill="1" applyBorder="1" applyAlignment="1" applyProtection="1">
      <alignment horizontal="center" vertical="center"/>
      <protection locked="0"/>
    </xf>
    <xf numFmtId="0" fontId="11" fillId="2" borderId="58" xfId="2" applyFont="1" applyFill="1" applyBorder="1" applyAlignment="1">
      <alignment horizontal="center" vertical="center" shrinkToFit="1"/>
    </xf>
    <xf numFmtId="0" fontId="0" fillId="0" borderId="136" xfId="0" applyBorder="1" applyAlignment="1">
      <alignment horizontal="center" vertical="center"/>
    </xf>
    <xf numFmtId="0" fontId="45" fillId="9" borderId="2" xfId="0" applyFont="1" applyFill="1" applyBorder="1" applyAlignment="1">
      <alignment horizontal="center" vertical="center"/>
    </xf>
    <xf numFmtId="0" fontId="9" fillId="0" borderId="0" xfId="2" applyFont="1" applyAlignment="1">
      <alignment vertical="center"/>
    </xf>
    <xf numFmtId="0" fontId="0" fillId="10" borderId="76" xfId="0" applyFill="1" applyBorder="1">
      <alignment vertical="center"/>
    </xf>
    <xf numFmtId="0" fontId="0" fillId="10" borderId="40" xfId="0" applyFill="1" applyBorder="1" applyAlignment="1">
      <alignment horizontal="center" vertical="center"/>
    </xf>
    <xf numFmtId="0" fontId="0" fillId="10" borderId="38" xfId="0" applyFill="1" applyBorder="1" applyAlignment="1">
      <alignment horizontal="center" vertical="center"/>
    </xf>
    <xf numFmtId="176" fontId="0" fillId="10" borderId="49" xfId="0" applyNumberFormat="1" applyFill="1" applyBorder="1" applyAlignment="1">
      <alignment horizontal="center" vertical="center"/>
    </xf>
    <xf numFmtId="176" fontId="48" fillId="0" borderId="1" xfId="0" applyNumberFormat="1" applyFont="1" applyBorder="1" applyAlignment="1">
      <alignment horizontal="center" vertical="center" wrapText="1"/>
    </xf>
    <xf numFmtId="0" fontId="31" fillId="0" borderId="37" xfId="3" applyFont="1" applyBorder="1" applyAlignment="1">
      <alignment horizontal="center" vertical="center"/>
    </xf>
    <xf numFmtId="178" fontId="0" fillId="12" borderId="13" xfId="0" applyNumberFormat="1" applyFill="1" applyBorder="1" applyAlignment="1">
      <alignment horizontal="center" vertical="center"/>
    </xf>
    <xf numFmtId="0" fontId="0" fillId="12" borderId="128" xfId="0" applyFill="1" applyBorder="1" applyAlignment="1">
      <alignment horizontal="center" vertical="center"/>
    </xf>
    <xf numFmtId="0" fontId="0" fillId="12" borderId="138" xfId="0" applyFill="1" applyBorder="1" applyAlignment="1">
      <alignment horizontal="center" vertical="center"/>
    </xf>
    <xf numFmtId="0" fontId="0" fillId="12" borderId="43" xfId="0" applyFill="1" applyBorder="1" applyAlignment="1">
      <alignment horizontal="center" vertical="center"/>
    </xf>
    <xf numFmtId="178" fontId="0" fillId="10" borderId="15" xfId="0" applyNumberFormat="1" applyFill="1" applyBorder="1" applyAlignment="1" applyProtection="1">
      <alignment horizontal="center" vertical="center"/>
      <protection locked="0"/>
    </xf>
    <xf numFmtId="0" fontId="0" fillId="10" borderId="128" xfId="0" applyFill="1" applyBorder="1" applyAlignment="1" applyProtection="1">
      <alignment horizontal="center" vertical="center" shrinkToFit="1"/>
      <protection locked="0"/>
    </xf>
    <xf numFmtId="0" fontId="0" fillId="10" borderId="138" xfId="0" applyFill="1" applyBorder="1" applyAlignment="1" applyProtection="1">
      <alignment horizontal="center" vertical="center" shrinkToFit="1"/>
      <protection locked="0"/>
    </xf>
    <xf numFmtId="0" fontId="0" fillId="10" borderId="43" xfId="0" applyFill="1" applyBorder="1" applyAlignment="1" applyProtection="1">
      <alignment horizontal="center" vertical="center" shrinkToFit="1"/>
      <protection locked="0"/>
    </xf>
    <xf numFmtId="178" fontId="0" fillId="10" borderId="75" xfId="0" applyNumberFormat="1" applyFill="1" applyBorder="1" applyAlignment="1" applyProtection="1">
      <alignment horizontal="center" vertical="center"/>
      <protection locked="0"/>
    </xf>
    <xf numFmtId="0" fontId="0" fillId="10" borderId="140" xfId="0" applyFill="1" applyBorder="1" applyAlignment="1" applyProtection="1">
      <alignment horizontal="center" vertical="center" shrinkToFit="1"/>
      <protection locked="0"/>
    </xf>
    <xf numFmtId="0" fontId="0" fillId="10" borderId="44" xfId="0" applyFill="1" applyBorder="1" applyAlignment="1" applyProtection="1">
      <alignment horizontal="center" vertical="center" shrinkToFit="1"/>
      <protection locked="0"/>
    </xf>
    <xf numFmtId="178" fontId="0" fillId="10" borderId="55" xfId="0" applyNumberFormat="1" applyFill="1" applyBorder="1" applyAlignment="1" applyProtection="1">
      <alignment horizontal="center" vertical="center"/>
      <protection locked="0"/>
    </xf>
    <xf numFmtId="0" fontId="0" fillId="10" borderId="132" xfId="0" applyFill="1" applyBorder="1" applyAlignment="1" applyProtection="1">
      <alignment horizontal="center" vertical="center" shrinkToFit="1"/>
      <protection locked="0"/>
    </xf>
    <xf numFmtId="0" fontId="0" fillId="10" borderId="141" xfId="0" applyFill="1" applyBorder="1" applyAlignment="1" applyProtection="1">
      <alignment horizontal="center" vertical="center" shrinkToFit="1"/>
      <protection locked="0"/>
    </xf>
    <xf numFmtId="0" fontId="0" fillId="10" borderId="70" xfId="0" applyFill="1" applyBorder="1" applyAlignment="1" applyProtection="1">
      <alignment horizontal="center" vertical="center" shrinkToFit="1"/>
      <protection locked="0"/>
    </xf>
    <xf numFmtId="0" fontId="0" fillId="0" borderId="1" xfId="0" applyBorder="1">
      <alignment vertical="center"/>
    </xf>
    <xf numFmtId="176" fontId="0" fillId="11" borderId="77" xfId="0" applyNumberFormat="1" applyFill="1" applyBorder="1" applyAlignment="1" applyProtection="1">
      <alignment horizontal="center" vertical="center"/>
      <protection locked="0"/>
    </xf>
    <xf numFmtId="0" fontId="40" fillId="0" borderId="63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0" fillId="0" borderId="35" xfId="0" applyFont="1" applyBorder="1" applyAlignment="1">
      <alignment horizontal="center" vertical="center"/>
    </xf>
    <xf numFmtId="0" fontId="40" fillId="0" borderId="60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176" fontId="40" fillId="0" borderId="43" xfId="0" applyNumberFormat="1" applyFont="1" applyBorder="1" applyAlignment="1">
      <alignment horizontal="center" vertical="center"/>
    </xf>
    <xf numFmtId="176" fontId="40" fillId="0" borderId="1" xfId="0" applyNumberFormat="1" applyFont="1" applyBorder="1" applyAlignment="1">
      <alignment horizontal="center" vertical="center"/>
    </xf>
    <xf numFmtId="0" fontId="34" fillId="0" borderId="0" xfId="0" applyFont="1">
      <alignment vertical="center"/>
    </xf>
    <xf numFmtId="0" fontId="30" fillId="13" borderId="1" xfId="0" applyFont="1" applyFill="1" applyBorder="1">
      <alignment vertical="center"/>
    </xf>
    <xf numFmtId="0" fontId="0" fillId="13" borderId="0" xfId="0" applyFill="1">
      <alignment vertical="center"/>
    </xf>
    <xf numFmtId="0" fontId="30" fillId="13" borderId="0" xfId="0" applyFont="1" applyFill="1" applyAlignment="1">
      <alignment horizontal="center" vertical="center"/>
    </xf>
    <xf numFmtId="0" fontId="30" fillId="13" borderId="0" xfId="0" applyFont="1" applyFill="1">
      <alignment vertical="center"/>
    </xf>
    <xf numFmtId="0" fontId="30" fillId="13" borderId="54" xfId="0" applyFont="1" applyFill="1" applyBorder="1">
      <alignment vertical="center"/>
    </xf>
    <xf numFmtId="0" fontId="30" fillId="13" borderId="78" xfId="0" applyFont="1" applyFill="1" applyBorder="1">
      <alignment vertical="center"/>
    </xf>
    <xf numFmtId="0" fontId="30" fillId="13" borderId="80" xfId="0" applyFont="1" applyFill="1" applyBorder="1">
      <alignment vertical="center"/>
    </xf>
    <xf numFmtId="177" fontId="13" fillId="13" borderId="51" xfId="0" applyNumberFormat="1" applyFont="1" applyFill="1" applyBorder="1" applyAlignment="1">
      <alignment horizontal="center" vertical="center"/>
    </xf>
    <xf numFmtId="177" fontId="13" fillId="13" borderId="12" xfId="0" applyNumberFormat="1" applyFont="1" applyFill="1" applyBorder="1" applyAlignment="1">
      <alignment horizontal="center" vertical="center"/>
    </xf>
    <xf numFmtId="177" fontId="13" fillId="13" borderId="11" xfId="0" applyNumberFormat="1" applyFont="1" applyFill="1" applyBorder="1" applyAlignment="1">
      <alignment horizontal="center" vertical="center"/>
    </xf>
    <xf numFmtId="177" fontId="13" fillId="13" borderId="37" xfId="0" applyNumberFormat="1" applyFont="1" applyFill="1" applyBorder="1" applyAlignment="1">
      <alignment horizontal="center" vertical="center"/>
    </xf>
    <xf numFmtId="177" fontId="13" fillId="13" borderId="10" xfId="0" applyNumberFormat="1" applyFont="1" applyFill="1" applyBorder="1" applyAlignment="1">
      <alignment horizontal="center" vertical="center"/>
    </xf>
    <xf numFmtId="177" fontId="20" fillId="13" borderId="10" xfId="0" applyNumberFormat="1" applyFont="1" applyFill="1" applyBorder="1" applyAlignment="1">
      <alignment horizontal="center" vertical="center" wrapText="1"/>
    </xf>
    <xf numFmtId="177" fontId="13" fillId="13" borderId="124" xfId="0" applyNumberFormat="1" applyFont="1" applyFill="1" applyBorder="1" applyAlignment="1">
      <alignment horizontal="center" vertical="center"/>
    </xf>
    <xf numFmtId="177" fontId="13" fillId="13" borderId="84" xfId="0" applyNumberFormat="1" applyFont="1" applyFill="1" applyBorder="1" applyAlignment="1">
      <alignment horizontal="center" vertical="center"/>
    </xf>
    <xf numFmtId="0" fontId="0" fillId="13" borderId="28" xfId="0" applyFill="1" applyBorder="1" applyAlignment="1">
      <alignment horizontal="center" vertical="center"/>
    </xf>
    <xf numFmtId="0" fontId="26" fillId="13" borderId="0" xfId="0" applyFont="1" applyFill="1">
      <alignment vertical="center"/>
    </xf>
    <xf numFmtId="0" fontId="28" fillId="13" borderId="67" xfId="0" applyFont="1" applyFill="1" applyBorder="1" applyAlignment="1">
      <alignment horizontal="center" vertical="center"/>
    </xf>
    <xf numFmtId="0" fontId="28" fillId="13" borderId="32" xfId="0" applyFont="1" applyFill="1" applyBorder="1" applyAlignment="1">
      <alignment horizontal="center" vertical="center"/>
    </xf>
    <xf numFmtId="49" fontId="0" fillId="13" borderId="126" xfId="0" applyNumberFormat="1" applyFill="1" applyBorder="1" applyAlignment="1">
      <alignment horizontal="center" vertical="center"/>
    </xf>
    <xf numFmtId="0" fontId="26" fillId="13" borderId="126" xfId="0" applyFont="1" applyFill="1" applyBorder="1">
      <alignment vertical="center"/>
    </xf>
    <xf numFmtId="0" fontId="26" fillId="13" borderId="86" xfId="0" applyFont="1" applyFill="1" applyBorder="1">
      <alignment vertical="center"/>
    </xf>
    <xf numFmtId="49" fontId="0" fillId="13" borderId="16" xfId="0" applyNumberFormat="1" applyFill="1" applyBorder="1" applyAlignment="1">
      <alignment horizontal="center" vertical="center"/>
    </xf>
    <xf numFmtId="0" fontId="26" fillId="13" borderId="16" xfId="0" applyFont="1" applyFill="1" applyBorder="1">
      <alignment vertical="center"/>
    </xf>
    <xf numFmtId="0" fontId="26" fillId="13" borderId="5" xfId="0" applyFont="1" applyFill="1" applyBorder="1">
      <alignment vertical="center"/>
    </xf>
    <xf numFmtId="49" fontId="0" fillId="13" borderId="20" xfId="0" applyNumberFormat="1" applyFill="1" applyBorder="1" applyAlignment="1">
      <alignment horizontal="center" vertical="center"/>
    </xf>
    <xf numFmtId="0" fontId="26" fillId="13" borderId="20" xfId="0" applyFont="1" applyFill="1" applyBorder="1">
      <alignment vertical="center"/>
    </xf>
    <xf numFmtId="0" fontId="26" fillId="13" borderId="17" xfId="0" applyFont="1" applyFill="1" applyBorder="1">
      <alignment vertical="center"/>
    </xf>
    <xf numFmtId="49" fontId="0" fillId="13" borderId="62" xfId="0" applyNumberFormat="1" applyFill="1" applyBorder="1" applyAlignment="1">
      <alignment horizontal="center" vertical="center"/>
    </xf>
    <xf numFmtId="38" fontId="41" fillId="0" borderId="0" xfId="0" applyNumberFormat="1" applyFont="1">
      <alignment vertical="center"/>
    </xf>
    <xf numFmtId="0" fontId="0" fillId="0" borderId="62" xfId="0" applyBorder="1" applyAlignment="1">
      <alignment horizontal="center" vertical="center"/>
    </xf>
    <xf numFmtId="0" fontId="0" fillId="0" borderId="147" xfId="0" applyBorder="1" applyAlignment="1">
      <alignment horizontal="center" vertical="center"/>
    </xf>
    <xf numFmtId="0" fontId="11" fillId="2" borderId="99" xfId="2" applyFont="1" applyFill="1" applyBorder="1" applyAlignment="1">
      <alignment horizontal="center" vertical="center" shrinkToFit="1"/>
    </xf>
    <xf numFmtId="0" fontId="0" fillId="0" borderId="11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 shrinkToFit="1"/>
    </xf>
    <xf numFmtId="0" fontId="0" fillId="0" borderId="35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54" fillId="0" borderId="0" xfId="0" applyFont="1" applyAlignment="1">
      <alignment horizontal="left" vertical="center" indent="2"/>
    </xf>
    <xf numFmtId="0" fontId="40" fillId="0" borderId="153" xfId="0" applyFont="1" applyBorder="1" applyAlignment="1">
      <alignment horizontal="center" vertical="center"/>
    </xf>
    <xf numFmtId="0" fontId="40" fillId="0" borderId="154" xfId="0" applyFont="1" applyBorder="1" applyAlignment="1">
      <alignment horizontal="center" vertical="center"/>
    </xf>
    <xf numFmtId="0" fontId="40" fillId="0" borderId="155" xfId="0" applyFont="1" applyBorder="1" applyAlignment="1">
      <alignment horizontal="center" vertical="center"/>
    </xf>
    <xf numFmtId="49" fontId="0" fillId="11" borderId="150" xfId="0" applyNumberFormat="1" applyFill="1" applyBorder="1" applyAlignment="1" applyProtection="1">
      <alignment horizontal="center" vertical="center"/>
      <protection locked="0"/>
    </xf>
    <xf numFmtId="49" fontId="0" fillId="11" borderId="151" xfId="0" applyNumberFormat="1" applyFill="1" applyBorder="1" applyAlignment="1" applyProtection="1">
      <alignment horizontal="center" vertical="center"/>
      <protection locked="0"/>
    </xf>
    <xf numFmtId="49" fontId="0" fillId="11" borderId="152" xfId="0" applyNumberFormat="1" applyFill="1" applyBorder="1" applyAlignment="1" applyProtection="1">
      <alignment horizontal="center" vertical="center"/>
      <protection locked="0"/>
    </xf>
    <xf numFmtId="177" fontId="0" fillId="0" borderId="0" xfId="0" applyNumberFormat="1" applyAlignment="1">
      <alignment horizontal="right" vertical="center"/>
    </xf>
    <xf numFmtId="0" fontId="0" fillId="5" borderId="16" xfId="0" applyFill="1" applyBorder="1" applyAlignment="1">
      <alignment horizontal="center" vertical="center"/>
    </xf>
    <xf numFmtId="0" fontId="18" fillId="0" borderId="28" xfId="2" applyFont="1" applyBorder="1" applyAlignment="1">
      <alignment vertical="center"/>
    </xf>
    <xf numFmtId="0" fontId="18" fillId="0" borderId="82" xfId="2" applyFont="1" applyBorder="1" applyAlignment="1">
      <alignment vertical="center"/>
    </xf>
    <xf numFmtId="0" fontId="18" fillId="0" borderId="88" xfId="2" applyFont="1" applyBorder="1" applyAlignment="1">
      <alignment vertical="center"/>
    </xf>
    <xf numFmtId="0" fontId="18" fillId="0" borderId="63" xfId="2" applyFont="1" applyBorder="1" applyAlignment="1">
      <alignment vertical="center"/>
    </xf>
    <xf numFmtId="38" fontId="2" fillId="0" borderId="43" xfId="1" applyFont="1" applyBorder="1" applyAlignment="1"/>
    <xf numFmtId="0" fontId="12" fillId="0" borderId="92" xfId="0" applyFont="1" applyBorder="1" applyAlignment="1">
      <alignment horizontal="center" vertical="center"/>
    </xf>
    <xf numFmtId="0" fontId="13" fillId="14" borderId="164" xfId="0" applyFont="1" applyFill="1" applyBorder="1" applyAlignment="1">
      <alignment horizontal="center" vertical="center"/>
    </xf>
    <xf numFmtId="0" fontId="13" fillId="14" borderId="165" xfId="0" applyFont="1" applyFill="1" applyBorder="1" applyAlignment="1">
      <alignment horizontal="center" vertical="center"/>
    </xf>
    <xf numFmtId="49" fontId="0" fillId="14" borderId="166" xfId="0" applyNumberFormat="1" applyFill="1" applyBorder="1" applyAlignment="1">
      <alignment horizontal="center" vertical="center"/>
    </xf>
    <xf numFmtId="49" fontId="0" fillId="14" borderId="167" xfId="0" applyNumberFormat="1" applyFill="1" applyBorder="1" applyAlignment="1">
      <alignment horizontal="center" vertical="center"/>
    </xf>
    <xf numFmtId="49" fontId="0" fillId="14" borderId="168" xfId="0" applyNumberFormat="1" applyFill="1" applyBorder="1" applyAlignment="1">
      <alignment horizontal="center" vertical="center"/>
    </xf>
    <xf numFmtId="49" fontId="0" fillId="14" borderId="169" xfId="0" applyNumberFormat="1" applyFill="1" applyBorder="1" applyAlignment="1">
      <alignment horizontal="center" vertical="center"/>
    </xf>
    <xf numFmtId="49" fontId="0" fillId="14" borderId="170" xfId="0" applyNumberFormat="1" applyFill="1" applyBorder="1" applyAlignment="1">
      <alignment horizontal="center" vertical="center"/>
    </xf>
    <xf numFmtId="49" fontId="0" fillId="14" borderId="171" xfId="0" applyNumberFormat="1" applyFill="1" applyBorder="1" applyAlignment="1">
      <alignment horizontal="center" vertical="center"/>
    </xf>
    <xf numFmtId="49" fontId="0" fillId="14" borderId="172" xfId="0" applyNumberFormat="1" applyFill="1" applyBorder="1" applyAlignment="1">
      <alignment horizontal="center" vertical="center"/>
    </xf>
    <xf numFmtId="49" fontId="0" fillId="14" borderId="173" xfId="0" applyNumberFormat="1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38" fontId="22" fillId="0" borderId="174" xfId="1" applyBorder="1" applyAlignment="1">
      <alignment horizontal="center" vertical="center"/>
    </xf>
    <xf numFmtId="0" fontId="0" fillId="4" borderId="0" xfId="0" applyFill="1">
      <alignment vertical="center"/>
    </xf>
    <xf numFmtId="38" fontId="22" fillId="0" borderId="175" xfId="1" applyBorder="1" applyAlignment="1">
      <alignment horizontal="center" vertical="center"/>
    </xf>
    <xf numFmtId="38" fontId="22" fillId="0" borderId="176" xfId="1" applyBorder="1" applyAlignment="1">
      <alignment horizontal="center" vertical="center"/>
    </xf>
    <xf numFmtId="38" fontId="22" fillId="0" borderId="177" xfId="1" applyBorder="1" applyAlignment="1">
      <alignment horizontal="center" vertical="center"/>
    </xf>
    <xf numFmtId="38" fontId="22" fillId="0" borderId="31" xfId="1" applyBorder="1" applyAlignment="1">
      <alignment horizontal="center" vertical="center"/>
    </xf>
    <xf numFmtId="38" fontId="22" fillId="0" borderId="20" xfId="1" applyBorder="1" applyAlignment="1">
      <alignment horizontal="center" vertical="center"/>
    </xf>
    <xf numFmtId="38" fontId="22" fillId="8" borderId="178" xfId="1" applyFill="1" applyBorder="1" applyAlignment="1">
      <alignment horizontal="center" vertical="center"/>
    </xf>
    <xf numFmtId="38" fontId="22" fillId="8" borderId="179" xfId="1" applyFill="1" applyBorder="1" applyAlignment="1">
      <alignment horizontal="center" vertical="center"/>
    </xf>
    <xf numFmtId="38" fontId="22" fillId="8" borderId="180" xfId="1" applyFill="1" applyBorder="1" applyAlignment="1">
      <alignment horizontal="center" vertical="center"/>
    </xf>
    <xf numFmtId="38" fontId="22" fillId="8" borderId="181" xfId="1" applyFill="1" applyBorder="1" applyAlignment="1">
      <alignment horizontal="center" vertical="center"/>
    </xf>
    <xf numFmtId="38" fontId="22" fillId="8" borderId="182" xfId="1" applyFill="1" applyBorder="1" applyAlignment="1">
      <alignment horizontal="center" vertical="center"/>
    </xf>
    <xf numFmtId="38" fontId="22" fillId="8" borderId="183" xfId="1" applyFill="1" applyBorder="1" applyAlignment="1">
      <alignment horizontal="center" vertical="center"/>
    </xf>
    <xf numFmtId="0" fontId="0" fillId="0" borderId="42" xfId="0" applyBorder="1">
      <alignment vertical="center"/>
    </xf>
    <xf numFmtId="38" fontId="22" fillId="0" borderId="175" xfId="1" applyBorder="1">
      <alignment vertical="center"/>
    </xf>
    <xf numFmtId="38" fontId="22" fillId="0" borderId="177" xfId="1" applyBorder="1">
      <alignment vertical="center"/>
    </xf>
    <xf numFmtId="38" fontId="22" fillId="0" borderId="177" xfId="1" applyBorder="1" applyAlignment="1">
      <alignment horizontal="right" vertical="center"/>
    </xf>
    <xf numFmtId="0" fontId="13" fillId="14" borderId="11" xfId="0" applyFont="1" applyFill="1" applyBorder="1" applyAlignment="1">
      <alignment horizontal="center" vertical="center"/>
    </xf>
    <xf numFmtId="0" fontId="13" fillId="14" borderId="84" xfId="0" applyFont="1" applyFill="1" applyBorder="1" applyAlignment="1">
      <alignment horizontal="center" vertical="center"/>
    </xf>
    <xf numFmtId="176" fontId="0" fillId="14" borderId="13" xfId="0" applyNumberFormat="1" applyFill="1" applyBorder="1" applyAlignment="1">
      <alignment horizontal="center" vertical="center"/>
    </xf>
    <xf numFmtId="176" fontId="0" fillId="14" borderId="43" xfId="0" applyNumberFormat="1" applyFill="1" applyBorder="1" applyAlignment="1">
      <alignment horizontal="center" vertical="center"/>
    </xf>
    <xf numFmtId="176" fontId="0" fillId="14" borderId="15" xfId="0" applyNumberFormat="1" applyFill="1" applyBorder="1" applyAlignment="1">
      <alignment horizontal="center" vertical="center"/>
    </xf>
    <xf numFmtId="176" fontId="0" fillId="14" borderId="19" xfId="0" applyNumberFormat="1" applyFill="1" applyBorder="1" applyAlignment="1">
      <alignment horizontal="center" vertical="center"/>
    </xf>
    <xf numFmtId="176" fontId="0" fillId="14" borderId="46" xfId="0" applyNumberFormat="1" applyFill="1" applyBorder="1" applyAlignment="1">
      <alignment horizontal="center" vertical="center"/>
    </xf>
    <xf numFmtId="176" fontId="0" fillId="14" borderId="55" xfId="0" applyNumberFormat="1" applyFill="1" applyBorder="1" applyAlignment="1">
      <alignment horizontal="center" vertical="center"/>
    </xf>
    <xf numFmtId="176" fontId="0" fillId="14" borderId="70" xfId="0" applyNumberFormat="1" applyFill="1" applyBorder="1" applyAlignment="1">
      <alignment horizontal="center" vertical="center"/>
    </xf>
    <xf numFmtId="0" fontId="27" fillId="14" borderId="74" xfId="0" applyFont="1" applyFill="1" applyBorder="1" applyAlignment="1">
      <alignment vertical="center" wrapText="1"/>
    </xf>
    <xf numFmtId="0" fontId="27" fillId="14" borderId="64" xfId="0" applyFont="1" applyFill="1" applyBorder="1" applyAlignment="1">
      <alignment vertical="center" wrapText="1"/>
    </xf>
    <xf numFmtId="0" fontId="0" fillId="14" borderId="30" xfId="0" applyFill="1" applyBorder="1" applyAlignment="1" applyProtection="1">
      <alignment horizontal="left" vertical="center" shrinkToFit="1"/>
      <protection locked="0"/>
    </xf>
    <xf numFmtId="0" fontId="0" fillId="14" borderId="18" xfId="0" applyFill="1" applyBorder="1" applyAlignment="1" applyProtection="1">
      <alignment horizontal="left" vertical="center" shrinkToFit="1"/>
      <protection locked="0"/>
    </xf>
    <xf numFmtId="0" fontId="0" fillId="14" borderId="63" xfId="0" applyFill="1" applyBorder="1" applyAlignment="1" applyProtection="1">
      <alignment horizontal="left" vertical="center" shrinkToFit="1"/>
      <protection locked="0"/>
    </xf>
    <xf numFmtId="0" fontId="0" fillId="14" borderId="121" xfId="0" applyFill="1" applyBorder="1" applyAlignment="1" applyProtection="1">
      <alignment horizontal="left" vertical="center" shrinkToFit="1"/>
      <protection locked="0"/>
    </xf>
    <xf numFmtId="38" fontId="22" fillId="0" borderId="0" xfId="1" applyBorder="1" applyProtection="1">
      <alignment vertical="center"/>
    </xf>
    <xf numFmtId="177" fontId="13" fillId="0" borderId="184" xfId="1" applyNumberFormat="1" applyFont="1" applyBorder="1" applyAlignment="1" applyProtection="1">
      <alignment horizontal="center" vertical="center"/>
    </xf>
    <xf numFmtId="177" fontId="13" fillId="0" borderId="185" xfId="1" applyNumberFormat="1" applyFont="1" applyBorder="1" applyAlignment="1" applyProtection="1">
      <alignment horizontal="center" vertical="center"/>
    </xf>
    <xf numFmtId="177" fontId="13" fillId="0" borderId="185" xfId="0" applyNumberFormat="1" applyFont="1" applyBorder="1" applyAlignment="1">
      <alignment horizontal="center" vertical="center"/>
    </xf>
    <xf numFmtId="38" fontId="13" fillId="0" borderId="186" xfId="1" applyFont="1" applyBorder="1" applyAlignment="1" applyProtection="1">
      <alignment horizontal="center" vertical="center"/>
    </xf>
    <xf numFmtId="0" fontId="0" fillId="0" borderId="31" xfId="0" applyBorder="1">
      <alignment vertical="center"/>
    </xf>
    <xf numFmtId="0" fontId="0" fillId="4" borderId="29" xfId="0" applyFill="1" applyBorder="1" applyAlignment="1">
      <alignment horizontal="center" vertical="center"/>
    </xf>
    <xf numFmtId="14" fontId="0" fillId="0" borderId="187" xfId="0" applyNumberFormat="1" applyBorder="1">
      <alignment vertical="center"/>
    </xf>
    <xf numFmtId="0" fontId="0" fillId="4" borderId="188" xfId="0" applyFill="1" applyBorder="1">
      <alignment vertical="center"/>
    </xf>
    <xf numFmtId="0" fontId="0" fillId="0" borderId="189" xfId="0" applyBorder="1" applyAlignment="1">
      <alignment horizontal="center" vertical="center"/>
    </xf>
    <xf numFmtId="0" fontId="0" fillId="4" borderId="190" xfId="0" applyFill="1" applyBorder="1" applyAlignment="1">
      <alignment horizontal="center" vertical="center"/>
    </xf>
    <xf numFmtId="14" fontId="0" fillId="0" borderId="191" xfId="0" applyNumberFormat="1" applyBorder="1">
      <alignment vertical="center"/>
    </xf>
    <xf numFmtId="0" fontId="0" fillId="4" borderId="192" xfId="0" applyFill="1" applyBorder="1">
      <alignment vertical="center"/>
    </xf>
    <xf numFmtId="14" fontId="0" fillId="0" borderId="193" xfId="0" applyNumberFormat="1" applyBorder="1">
      <alignment vertical="center"/>
    </xf>
    <xf numFmtId="0" fontId="0" fillId="4" borderId="194" xfId="0" applyFill="1" applyBorder="1">
      <alignment vertical="center"/>
    </xf>
    <xf numFmtId="0" fontId="0" fillId="0" borderId="195" xfId="0" applyBorder="1">
      <alignment vertical="center"/>
    </xf>
    <xf numFmtId="0" fontId="0" fillId="4" borderId="196" xfId="0" applyFill="1" applyBorder="1">
      <alignment vertical="center"/>
    </xf>
    <xf numFmtId="177" fontId="0" fillId="4" borderId="190" xfId="0" applyNumberFormat="1" applyFill="1" applyBorder="1" applyAlignment="1">
      <alignment horizontal="center" vertical="center"/>
    </xf>
    <xf numFmtId="38" fontId="22" fillId="0" borderId="174" xfId="1" applyBorder="1">
      <alignment vertical="center"/>
    </xf>
    <xf numFmtId="0" fontId="0" fillId="0" borderId="44" xfId="0" applyBorder="1">
      <alignment vertical="center"/>
    </xf>
    <xf numFmtId="0" fontId="0" fillId="0" borderId="174" xfId="0" applyBorder="1">
      <alignment vertical="center"/>
    </xf>
    <xf numFmtId="0" fontId="0" fillId="14" borderId="15" xfId="0" applyFill="1" applyBorder="1" applyAlignment="1">
      <alignment horizontal="center" vertical="center"/>
    </xf>
    <xf numFmtId="0" fontId="0" fillId="14" borderId="35" xfId="0" applyFill="1" applyBorder="1" applyAlignment="1">
      <alignment horizontal="center" vertical="center"/>
    </xf>
    <xf numFmtId="0" fontId="0" fillId="14" borderId="19" xfId="0" applyFill="1" applyBorder="1" applyAlignment="1">
      <alignment horizontal="center" vertical="center"/>
    </xf>
    <xf numFmtId="0" fontId="0" fillId="14" borderId="67" xfId="0" applyFill="1" applyBorder="1" applyAlignment="1">
      <alignment horizontal="center" vertical="center"/>
    </xf>
    <xf numFmtId="0" fontId="0" fillId="14" borderId="55" xfId="0" applyFill="1" applyBorder="1" applyAlignment="1">
      <alignment horizontal="center" vertical="center"/>
    </xf>
    <xf numFmtId="0" fontId="0" fillId="14" borderId="60" xfId="0" applyFill="1" applyBorder="1" applyAlignment="1">
      <alignment horizontal="center" vertical="center"/>
    </xf>
    <xf numFmtId="0" fontId="0" fillId="14" borderId="129" xfId="0" applyFill="1" applyBorder="1" applyAlignment="1" applyProtection="1">
      <alignment horizontal="center" vertical="center"/>
      <protection locked="0"/>
    </xf>
    <xf numFmtId="0" fontId="40" fillId="14" borderId="35" xfId="0" applyFont="1" applyFill="1" applyBorder="1" applyAlignment="1">
      <alignment horizontal="center" vertical="center"/>
    </xf>
    <xf numFmtId="0" fontId="0" fillId="14" borderId="130" xfId="0" applyFill="1" applyBorder="1" applyAlignment="1" applyProtection="1">
      <alignment horizontal="center" vertical="center"/>
      <protection locked="0"/>
    </xf>
    <xf numFmtId="0" fontId="0" fillId="14" borderId="133" xfId="0" applyFill="1" applyBorder="1" applyAlignment="1" applyProtection="1">
      <alignment horizontal="center" vertical="center"/>
      <protection locked="0"/>
    </xf>
    <xf numFmtId="0" fontId="40" fillId="14" borderId="60" xfId="0" applyFont="1" applyFill="1" applyBorder="1" applyAlignment="1">
      <alignment horizontal="center" vertical="center"/>
    </xf>
    <xf numFmtId="0" fontId="9" fillId="4" borderId="42" xfId="2" applyFont="1" applyFill="1" applyBorder="1" applyAlignment="1" applyProtection="1">
      <alignment horizontal="left" vertical="center"/>
      <protection locked="0"/>
    </xf>
    <xf numFmtId="0" fontId="9" fillId="4" borderId="44" xfId="2" applyFont="1" applyFill="1" applyBorder="1" applyAlignment="1" applyProtection="1">
      <alignment horizontal="left" vertical="center"/>
      <protection locked="0"/>
    </xf>
    <xf numFmtId="0" fontId="9" fillId="4" borderId="34" xfId="2" applyFont="1" applyFill="1" applyBorder="1" applyAlignment="1" applyProtection="1">
      <alignment horizontal="left" vertical="center"/>
      <protection locked="0"/>
    </xf>
    <xf numFmtId="0" fontId="31" fillId="0" borderId="3" xfId="4" applyFont="1" applyBorder="1" applyAlignment="1">
      <alignment horizontal="center" vertical="center"/>
    </xf>
    <xf numFmtId="0" fontId="32" fillId="4" borderId="42" xfId="4" applyFont="1" applyFill="1" applyBorder="1" applyAlignment="1" applyProtection="1">
      <alignment horizontal="left" vertical="center"/>
      <protection locked="0"/>
    </xf>
    <xf numFmtId="0" fontId="32" fillId="4" borderId="44" xfId="4" applyFont="1" applyFill="1" applyBorder="1" applyAlignment="1" applyProtection="1">
      <alignment horizontal="left" vertical="center"/>
      <protection locked="0"/>
    </xf>
    <xf numFmtId="0" fontId="32" fillId="4" borderId="85" xfId="4" applyFont="1" applyFill="1" applyBorder="1" applyAlignment="1" applyProtection="1">
      <alignment horizontal="left" vertical="center"/>
      <protection locked="0"/>
    </xf>
    <xf numFmtId="176" fontId="34" fillId="0" borderId="0" xfId="0" applyNumberFormat="1" applyFont="1">
      <alignment vertical="center"/>
    </xf>
    <xf numFmtId="0" fontId="31" fillId="0" borderId="1" xfId="4" applyFont="1" applyBorder="1" applyAlignment="1">
      <alignment horizontal="center" vertical="center"/>
    </xf>
    <xf numFmtId="0" fontId="43" fillId="0" borderId="0" xfId="2" applyFont="1" applyAlignment="1">
      <alignment vertical="center"/>
    </xf>
    <xf numFmtId="0" fontId="9" fillId="0" borderId="0" xfId="2" applyFont="1" applyAlignment="1">
      <alignment horizontal="left" shrinkToFit="1"/>
    </xf>
    <xf numFmtId="0" fontId="2" fillId="0" borderId="0" xfId="2" applyAlignment="1">
      <alignment horizontal="center" wrapText="1"/>
    </xf>
    <xf numFmtId="0" fontId="9" fillId="0" borderId="0" xfId="2" applyFont="1" applyAlignment="1">
      <alignment horizontal="center"/>
    </xf>
    <xf numFmtId="0" fontId="9" fillId="0" borderId="0" xfId="2" applyFont="1" applyAlignment="1">
      <alignment horizontal="center" shrinkToFit="1"/>
    </xf>
    <xf numFmtId="0" fontId="21" fillId="0" borderId="0" xfId="2" applyFont="1" applyAlignment="1">
      <alignment vertical="center"/>
    </xf>
    <xf numFmtId="0" fontId="18" fillId="4" borderId="72" xfId="2" applyFont="1" applyFill="1" applyBorder="1" applyAlignment="1">
      <alignment horizontal="center" vertical="center"/>
    </xf>
    <xf numFmtId="0" fontId="0" fillId="15" borderId="0" xfId="0" applyFill="1" applyAlignment="1">
      <alignment horizontal="center" vertical="center"/>
    </xf>
    <xf numFmtId="38" fontId="22" fillId="8" borderId="77" xfId="1" applyFill="1" applyBorder="1" applyAlignment="1" applyProtection="1">
      <alignment horizontal="right" vertical="center"/>
    </xf>
    <xf numFmtId="0" fontId="0" fillId="0" borderId="61" xfId="0" applyBorder="1" applyAlignment="1">
      <alignment horizontal="center" vertical="center"/>
    </xf>
    <xf numFmtId="0" fontId="31" fillId="0" borderId="125" xfId="4" applyFont="1" applyBorder="1" applyAlignment="1">
      <alignment horizontal="center" vertical="center" wrapText="1"/>
    </xf>
    <xf numFmtId="0" fontId="31" fillId="0" borderId="83" xfId="4" applyFont="1" applyBorder="1" applyAlignment="1">
      <alignment horizontal="center" vertical="center" wrapText="1"/>
    </xf>
    <xf numFmtId="0" fontId="31" fillId="0" borderId="42" xfId="4" applyFont="1" applyBorder="1" applyAlignment="1">
      <alignment horizontal="center" vertical="center"/>
    </xf>
    <xf numFmtId="0" fontId="31" fillId="0" borderId="34" xfId="4" applyFont="1" applyBorder="1" applyAlignment="1">
      <alignment horizontal="center" vertical="center"/>
    </xf>
    <xf numFmtId="0" fontId="9" fillId="4" borderId="42" xfId="2" applyFont="1" applyFill="1" applyBorder="1" applyAlignment="1" applyProtection="1">
      <alignment horizontal="left" vertical="center"/>
      <protection locked="0"/>
    </xf>
    <xf numFmtId="0" fontId="9" fillId="4" borderId="44" xfId="2" applyFont="1" applyFill="1" applyBorder="1" applyAlignment="1" applyProtection="1">
      <alignment horizontal="left" vertical="center"/>
      <protection locked="0"/>
    </xf>
    <xf numFmtId="0" fontId="9" fillId="4" borderId="34" xfId="2" applyFont="1" applyFill="1" applyBorder="1" applyAlignment="1" applyProtection="1">
      <alignment horizontal="left" vertical="center"/>
      <protection locked="0"/>
    </xf>
    <xf numFmtId="0" fontId="9" fillId="4" borderId="85" xfId="2" applyFont="1" applyFill="1" applyBorder="1" applyAlignment="1" applyProtection="1">
      <alignment horizontal="left" vertical="center"/>
      <protection locked="0"/>
    </xf>
    <xf numFmtId="0" fontId="29" fillId="0" borderId="0" xfId="4" applyFont="1" applyAlignment="1">
      <alignment horizontal="center" vertical="center"/>
    </xf>
    <xf numFmtId="0" fontId="9" fillId="4" borderId="45" xfId="2" applyFont="1" applyFill="1" applyBorder="1" applyAlignment="1" applyProtection="1">
      <alignment horizontal="center" vertical="center"/>
      <protection locked="0"/>
    </xf>
    <xf numFmtId="0" fontId="9" fillId="4" borderId="54" xfId="2" applyFont="1" applyFill="1" applyBorder="1" applyAlignment="1" applyProtection="1">
      <alignment horizontal="center" vertical="center"/>
      <protection locked="0"/>
    </xf>
    <xf numFmtId="0" fontId="9" fillId="4" borderId="66" xfId="2" applyFont="1" applyFill="1" applyBorder="1" applyAlignment="1" applyProtection="1">
      <alignment horizontal="center" vertical="center"/>
      <protection locked="0"/>
    </xf>
    <xf numFmtId="0" fontId="32" fillId="4" borderId="45" xfId="4" applyFont="1" applyFill="1" applyBorder="1" applyAlignment="1" applyProtection="1">
      <alignment horizontal="center" vertical="center"/>
      <protection locked="0"/>
    </xf>
    <xf numFmtId="0" fontId="32" fillId="4" borderId="54" xfId="4" applyFont="1" applyFill="1" applyBorder="1" applyAlignment="1" applyProtection="1">
      <alignment horizontal="center" vertical="center"/>
      <protection locked="0"/>
    </xf>
    <xf numFmtId="0" fontId="32" fillId="4" borderId="66" xfId="4" applyFont="1" applyFill="1" applyBorder="1" applyAlignment="1" applyProtection="1">
      <alignment horizontal="center" vertical="center"/>
      <protection locked="0"/>
    </xf>
    <xf numFmtId="0" fontId="31" fillId="0" borderId="3" xfId="4" applyFont="1" applyBorder="1" applyAlignment="1">
      <alignment horizontal="center" vertical="center"/>
    </xf>
    <xf numFmtId="0" fontId="32" fillId="4" borderId="3" xfId="4" applyFont="1" applyFill="1" applyBorder="1" applyAlignment="1" applyProtection="1">
      <alignment horizontal="center" vertical="center"/>
      <protection locked="0"/>
    </xf>
    <xf numFmtId="0" fontId="32" fillId="4" borderId="81" xfId="4" applyFont="1" applyFill="1" applyBorder="1" applyAlignment="1" applyProtection="1">
      <alignment horizontal="center" vertical="center"/>
      <protection locked="0"/>
    </xf>
    <xf numFmtId="0" fontId="32" fillId="4" borderId="3" xfId="4" applyFont="1" applyFill="1" applyBorder="1" applyAlignment="1" applyProtection="1">
      <alignment horizontal="left" vertical="center" shrinkToFit="1"/>
      <protection locked="0"/>
    </xf>
    <xf numFmtId="0" fontId="32" fillId="4" borderId="81" xfId="4" applyFont="1" applyFill="1" applyBorder="1" applyAlignment="1" applyProtection="1">
      <alignment horizontal="left" vertical="center" shrinkToFit="1"/>
      <protection locked="0"/>
    </xf>
    <xf numFmtId="0" fontId="9" fillId="4" borderId="41" xfId="2" applyFont="1" applyFill="1" applyBorder="1" applyAlignment="1" applyProtection="1">
      <alignment horizontal="center" vertical="center"/>
      <protection locked="0"/>
    </xf>
    <xf numFmtId="0" fontId="9" fillId="4" borderId="70" xfId="2" applyFont="1" applyFill="1" applyBorder="1" applyAlignment="1" applyProtection="1">
      <alignment horizontal="center" vertical="center"/>
      <protection locked="0"/>
    </xf>
    <xf numFmtId="0" fontId="9" fillId="4" borderId="57" xfId="2" applyFont="1" applyFill="1" applyBorder="1" applyAlignment="1" applyProtection="1">
      <alignment horizontal="center" vertical="center"/>
      <protection locked="0"/>
    </xf>
    <xf numFmtId="0" fontId="9" fillId="4" borderId="42" xfId="2" applyFont="1" applyFill="1" applyBorder="1" applyAlignment="1" applyProtection="1">
      <alignment horizontal="center" vertical="center"/>
      <protection locked="0"/>
    </xf>
    <xf numFmtId="0" fontId="9" fillId="4" borderId="44" xfId="2" applyFont="1" applyFill="1" applyBorder="1" applyAlignment="1" applyProtection="1">
      <alignment horizontal="center" vertical="center"/>
      <protection locked="0"/>
    </xf>
    <xf numFmtId="0" fontId="9" fillId="4" borderId="34" xfId="2" applyFont="1" applyFill="1" applyBorder="1" applyAlignment="1" applyProtection="1">
      <alignment horizontal="center" vertical="center"/>
      <protection locked="0"/>
    </xf>
    <xf numFmtId="0" fontId="31" fillId="0" borderId="5" xfId="4" applyFont="1" applyBorder="1" applyAlignment="1">
      <alignment horizontal="center" vertical="center" wrapText="1"/>
    </xf>
    <xf numFmtId="0" fontId="31" fillId="0" borderId="30" xfId="4" applyFont="1" applyBorder="1" applyAlignment="1">
      <alignment horizontal="center" vertical="center"/>
    </xf>
    <xf numFmtId="49" fontId="32" fillId="4" borderId="42" xfId="4" applyNumberFormat="1" applyFont="1" applyFill="1" applyBorder="1" applyAlignment="1" applyProtection="1">
      <alignment horizontal="left" vertical="center"/>
      <protection locked="0"/>
    </xf>
    <xf numFmtId="49" fontId="32" fillId="4" borderId="44" xfId="4" applyNumberFormat="1" applyFont="1" applyFill="1" applyBorder="1" applyAlignment="1" applyProtection="1">
      <alignment horizontal="left" vertical="center"/>
      <protection locked="0"/>
    </xf>
    <xf numFmtId="49" fontId="32" fillId="4" borderId="85" xfId="4" applyNumberFormat="1" applyFont="1" applyFill="1" applyBorder="1" applyAlignment="1" applyProtection="1">
      <alignment horizontal="left" vertical="center"/>
      <protection locked="0"/>
    </xf>
    <xf numFmtId="0" fontId="46" fillId="4" borderId="3" xfId="5" applyFill="1" applyBorder="1" applyAlignment="1" applyProtection="1">
      <alignment horizontal="left" vertical="center"/>
      <protection locked="0"/>
    </xf>
    <xf numFmtId="0" fontId="9" fillId="4" borderId="3" xfId="2" applyFont="1" applyFill="1" applyBorder="1" applyAlignment="1" applyProtection="1">
      <alignment horizontal="left" vertical="center"/>
      <protection locked="0"/>
    </xf>
    <xf numFmtId="0" fontId="9" fillId="4" borderId="81" xfId="2" applyFont="1" applyFill="1" applyBorder="1" applyAlignment="1" applyProtection="1">
      <alignment horizontal="left" vertical="center"/>
      <protection locked="0"/>
    </xf>
    <xf numFmtId="0" fontId="49" fillId="0" borderId="87" xfId="4" applyFont="1" applyBorder="1" applyAlignment="1">
      <alignment horizontal="left" wrapText="1" indent="1"/>
    </xf>
    <xf numFmtId="0" fontId="49" fillId="0" borderId="74" xfId="4" applyFont="1" applyBorder="1" applyAlignment="1">
      <alignment horizontal="left" wrapText="1" indent="1"/>
    </xf>
    <xf numFmtId="0" fontId="49" fillId="0" borderId="64" xfId="4" applyFont="1" applyBorder="1" applyAlignment="1">
      <alignment horizontal="left" wrapText="1" indent="1"/>
    </xf>
    <xf numFmtId="0" fontId="48" fillId="0" borderId="83" xfId="3" applyFont="1" applyBorder="1" applyAlignment="1">
      <alignment horizontal="left" vertical="center" wrapText="1" indent="1"/>
    </xf>
    <xf numFmtId="0" fontId="48" fillId="0" borderId="43" xfId="3" applyFont="1" applyBorder="1" applyAlignment="1">
      <alignment horizontal="left" vertical="center" wrapText="1" indent="1"/>
    </xf>
    <xf numFmtId="0" fontId="48" fillId="0" borderId="35" xfId="3" applyFont="1" applyBorder="1" applyAlignment="1">
      <alignment horizontal="left" vertical="center" wrapText="1" indent="1"/>
    </xf>
    <xf numFmtId="0" fontId="31" fillId="0" borderId="25" xfId="3" applyFont="1" applyBorder="1" applyAlignment="1">
      <alignment horizontal="center" vertical="center"/>
    </xf>
    <xf numFmtId="0" fontId="31" fillId="0" borderId="26" xfId="3" applyFont="1" applyBorder="1" applyAlignment="1">
      <alignment horizontal="center" vertical="center"/>
    </xf>
    <xf numFmtId="0" fontId="31" fillId="0" borderId="79" xfId="3" applyFont="1" applyBorder="1" applyAlignment="1">
      <alignment horizontal="center" vertical="center"/>
    </xf>
    <xf numFmtId="0" fontId="31" fillId="0" borderId="48" xfId="3" applyFont="1" applyBorder="1" applyAlignment="1">
      <alignment horizontal="center" vertical="center"/>
    </xf>
    <xf numFmtId="0" fontId="31" fillId="0" borderId="26" xfId="3" applyFont="1" applyBorder="1" applyAlignment="1">
      <alignment horizontal="center" vertical="center" wrapText="1"/>
    </xf>
    <xf numFmtId="0" fontId="31" fillId="0" borderId="79" xfId="3" applyFont="1" applyBorder="1" applyAlignment="1">
      <alignment horizontal="center" vertical="center" wrapText="1"/>
    </xf>
    <xf numFmtId="0" fontId="31" fillId="0" borderId="122" xfId="3" applyFont="1" applyBorder="1" applyAlignment="1">
      <alignment horizontal="center" vertical="center" wrapText="1"/>
    </xf>
    <xf numFmtId="0" fontId="0" fillId="12" borderId="16" xfId="0" applyFill="1" applyBorder="1" applyAlignment="1">
      <alignment horizontal="center" vertical="center" shrinkToFit="1"/>
    </xf>
    <xf numFmtId="0" fontId="0" fillId="12" borderId="5" xfId="0" applyFill="1" applyBorder="1" applyAlignment="1">
      <alignment horizontal="center" vertical="center" shrinkToFit="1"/>
    </xf>
    <xf numFmtId="0" fontId="0" fillId="12" borderId="30" xfId="0" applyFill="1" applyBorder="1" applyAlignment="1">
      <alignment horizontal="center" vertical="center" shrinkToFit="1"/>
    </xf>
    <xf numFmtId="0" fontId="0" fillId="12" borderId="47" xfId="0" applyFill="1" applyBorder="1" applyAlignment="1">
      <alignment horizontal="left" vertical="center" shrinkToFit="1"/>
    </xf>
    <xf numFmtId="0" fontId="0" fillId="12" borderId="71" xfId="0" applyFill="1" applyBorder="1" applyAlignment="1">
      <alignment horizontal="left" vertical="center" shrinkToFit="1"/>
    </xf>
    <xf numFmtId="0" fontId="0" fillId="12" borderId="139" xfId="0" applyFill="1" applyBorder="1" applyAlignment="1">
      <alignment horizontal="left" vertical="center" shrinkToFit="1"/>
    </xf>
    <xf numFmtId="0" fontId="0" fillId="10" borderId="16" xfId="0" applyFill="1" applyBorder="1" applyAlignment="1" applyProtection="1">
      <alignment horizontal="center" vertical="center" shrinkToFit="1"/>
      <protection locked="0"/>
    </xf>
    <xf numFmtId="0" fontId="0" fillId="10" borderId="5" xfId="0" applyFill="1" applyBorder="1" applyAlignment="1" applyProtection="1">
      <alignment horizontal="center" vertical="center" shrinkToFit="1"/>
      <protection locked="0"/>
    </xf>
    <xf numFmtId="0" fontId="0" fillId="10" borderId="30" xfId="0" applyFill="1" applyBorder="1" applyAlignment="1" applyProtection="1">
      <alignment horizontal="center" vertical="center" shrinkToFit="1"/>
      <protection locked="0"/>
    </xf>
    <xf numFmtId="0" fontId="0" fillId="10" borderId="42" xfId="0" applyFill="1" applyBorder="1" applyAlignment="1" applyProtection="1">
      <alignment horizontal="left" vertical="center" shrinkToFit="1"/>
      <protection locked="0"/>
    </xf>
    <xf numFmtId="0" fontId="0" fillId="10" borderId="44" xfId="0" applyFill="1" applyBorder="1" applyAlignment="1" applyProtection="1">
      <alignment horizontal="left" vertical="center" shrinkToFit="1"/>
      <protection locked="0"/>
    </xf>
    <xf numFmtId="0" fontId="0" fillId="10" borderId="85" xfId="0" applyFill="1" applyBorder="1" applyAlignment="1" applyProtection="1">
      <alignment horizontal="left" vertical="center" shrinkToFit="1"/>
      <protection locked="0"/>
    </xf>
    <xf numFmtId="0" fontId="0" fillId="10" borderId="3" xfId="0" applyFill="1" applyBorder="1" applyAlignment="1" applyProtection="1">
      <alignment horizontal="center" vertical="center" shrinkToFit="1"/>
      <protection locked="0"/>
    </xf>
    <xf numFmtId="0" fontId="0" fillId="10" borderId="56" xfId="0" applyFill="1" applyBorder="1" applyAlignment="1" applyProtection="1">
      <alignment horizontal="center" vertical="center" shrinkToFit="1"/>
      <protection locked="0"/>
    </xf>
    <xf numFmtId="0" fontId="0" fillId="10" borderId="41" xfId="0" applyFill="1" applyBorder="1" applyAlignment="1" applyProtection="1">
      <alignment horizontal="center" vertical="center" shrinkToFit="1"/>
      <protection locked="0"/>
    </xf>
    <xf numFmtId="0" fontId="0" fillId="10" borderId="57" xfId="0" applyFill="1" applyBorder="1" applyAlignment="1" applyProtection="1">
      <alignment horizontal="center" vertical="center" shrinkToFit="1"/>
      <protection locked="0"/>
    </xf>
    <xf numFmtId="0" fontId="0" fillId="10" borderId="41" xfId="0" applyFill="1" applyBorder="1" applyAlignment="1" applyProtection="1">
      <alignment horizontal="left" vertical="center" shrinkToFit="1"/>
      <protection locked="0"/>
    </xf>
    <xf numFmtId="0" fontId="0" fillId="10" borderId="70" xfId="0" applyFill="1" applyBorder="1" applyAlignment="1" applyProtection="1">
      <alignment horizontal="left" vertical="center" shrinkToFit="1"/>
      <protection locked="0"/>
    </xf>
    <xf numFmtId="0" fontId="0" fillId="10" borderId="60" xfId="0" applyFill="1" applyBorder="1" applyAlignment="1" applyProtection="1">
      <alignment horizontal="left" vertical="center" shrinkToFit="1"/>
      <protection locked="0"/>
    </xf>
    <xf numFmtId="0" fontId="0" fillId="7" borderId="29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27" fillId="0" borderId="92" xfId="0" applyFont="1" applyBorder="1" applyAlignment="1">
      <alignment horizontal="center" vertical="center"/>
    </xf>
    <xf numFmtId="0" fontId="27" fillId="0" borderId="38" xfId="0" applyFont="1" applyBorder="1" applyAlignment="1">
      <alignment horizontal="center" vertical="center"/>
    </xf>
    <xf numFmtId="177" fontId="25" fillId="0" borderId="87" xfId="0" applyNumberFormat="1" applyFont="1" applyBorder="1" applyAlignment="1">
      <alignment horizontal="center" vertical="center"/>
    </xf>
    <xf numFmtId="177" fontId="25" fillId="0" borderId="88" xfId="0" applyNumberFormat="1" applyFont="1" applyBorder="1" applyAlignment="1">
      <alignment horizontal="center" vertical="center"/>
    </xf>
    <xf numFmtId="0" fontId="0" fillId="0" borderId="143" xfId="0" applyBorder="1" applyAlignment="1">
      <alignment horizontal="center" vertical="center" wrapText="1"/>
    </xf>
    <xf numFmtId="0" fontId="0" fillId="0" borderId="144" xfId="0" applyBorder="1" applyAlignment="1">
      <alignment horizontal="center" vertical="center"/>
    </xf>
    <xf numFmtId="0" fontId="0" fillId="7" borderId="18" xfId="0" applyFill="1" applyBorder="1" applyAlignment="1">
      <alignment horizontal="center" vertical="center"/>
    </xf>
    <xf numFmtId="0" fontId="0" fillId="7" borderId="81" xfId="0" applyFill="1" applyBorder="1" applyAlignment="1">
      <alignment horizontal="center" vertical="center"/>
    </xf>
    <xf numFmtId="38" fontId="0" fillId="0" borderId="0" xfId="0" applyNumberFormat="1" applyAlignment="1">
      <alignment horizontal="center" vertical="center"/>
    </xf>
    <xf numFmtId="38" fontId="22" fillId="0" borderId="0" xfId="1" applyAlignment="1" applyProtection="1">
      <alignment horizontal="center" vertical="center"/>
    </xf>
    <xf numFmtId="0" fontId="13" fillId="0" borderId="26" xfId="0" applyFont="1" applyBorder="1" applyAlignment="1">
      <alignment horizontal="center" vertical="center" shrinkToFit="1"/>
    </xf>
    <xf numFmtId="0" fontId="13" fillId="0" borderId="48" xfId="0" applyFont="1" applyBorder="1" applyAlignment="1">
      <alignment horizontal="center" vertical="center" shrinkToFit="1"/>
    </xf>
    <xf numFmtId="0" fontId="25" fillId="0" borderId="111" xfId="0" applyFont="1" applyBorder="1" applyAlignment="1">
      <alignment horizontal="center" vertical="center"/>
    </xf>
    <xf numFmtId="0" fontId="25" fillId="0" borderId="96" xfId="0" applyFont="1" applyBorder="1" applyAlignment="1">
      <alignment horizontal="center" vertical="center"/>
    </xf>
    <xf numFmtId="0" fontId="25" fillId="0" borderId="59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0" fillId="7" borderId="17" xfId="0" applyFill="1" applyBorder="1" applyAlignment="1">
      <alignment horizontal="center" vertical="center"/>
    </xf>
    <xf numFmtId="0" fontId="25" fillId="14" borderId="87" xfId="0" applyFont="1" applyFill="1" applyBorder="1" applyAlignment="1">
      <alignment horizontal="center" vertical="center"/>
    </xf>
    <xf numFmtId="0" fontId="25" fillId="14" borderId="64" xfId="0" applyFont="1" applyFill="1" applyBorder="1" applyAlignment="1">
      <alignment horizontal="center" vertical="center"/>
    </xf>
    <xf numFmtId="0" fontId="25" fillId="14" borderId="88" xfId="0" applyFont="1" applyFill="1" applyBorder="1" applyAlignment="1">
      <alignment horizontal="center" vertical="center"/>
    </xf>
    <xf numFmtId="0" fontId="25" fillId="14" borderId="65" xfId="0" applyFont="1" applyFill="1" applyBorder="1" applyAlignment="1">
      <alignment horizontal="center" vertical="center"/>
    </xf>
    <xf numFmtId="0" fontId="0" fillId="7" borderId="59" xfId="0" applyFill="1" applyBorder="1" applyAlignment="1">
      <alignment horizontal="center" vertical="center"/>
    </xf>
    <xf numFmtId="38" fontId="26" fillId="8" borderId="92" xfId="1" applyFont="1" applyFill="1" applyBorder="1" applyAlignment="1" applyProtection="1">
      <alignment horizontal="center" vertical="center" wrapText="1"/>
    </xf>
    <xf numFmtId="38" fontId="26" fillId="8" borderId="39" xfId="1" applyFont="1" applyFill="1" applyBorder="1" applyAlignment="1" applyProtection="1">
      <alignment horizontal="center" vertical="center" wrapText="1"/>
    </xf>
    <xf numFmtId="38" fontId="26" fillId="8" borderId="93" xfId="1" applyFont="1" applyFill="1" applyBorder="1" applyAlignment="1" applyProtection="1">
      <alignment horizontal="center" vertical="center" wrapText="1"/>
    </xf>
    <xf numFmtId="177" fontId="25" fillId="0" borderId="22" xfId="0" applyNumberFormat="1" applyFont="1" applyBorder="1" applyAlignment="1">
      <alignment horizontal="center" vertical="center"/>
    </xf>
    <xf numFmtId="177" fontId="25" fillId="0" borderId="62" xfId="0" applyNumberFormat="1" applyFont="1" applyBorder="1" applyAlignment="1">
      <alignment horizontal="center" vertical="center"/>
    </xf>
    <xf numFmtId="0" fontId="25" fillId="0" borderId="87" xfId="0" applyFont="1" applyBorder="1" applyAlignment="1">
      <alignment horizontal="right" vertical="center" indent="2"/>
    </xf>
    <xf numFmtId="0" fontId="25" fillId="0" borderId="74" xfId="0" applyFont="1" applyBorder="1" applyAlignment="1">
      <alignment horizontal="right" vertical="center" indent="2"/>
    </xf>
    <xf numFmtId="0" fontId="25" fillId="0" borderId="64" xfId="0" applyFont="1" applyBorder="1" applyAlignment="1">
      <alignment horizontal="right" vertical="center" indent="2"/>
    </xf>
    <xf numFmtId="0" fontId="25" fillId="0" borderId="88" xfId="0" applyFont="1" applyBorder="1" applyAlignment="1">
      <alignment horizontal="right" vertical="center" indent="2"/>
    </xf>
    <xf numFmtId="0" fontId="25" fillId="0" borderId="1" xfId="0" applyFont="1" applyBorder="1" applyAlignment="1">
      <alignment horizontal="right" vertical="center" indent="2"/>
    </xf>
    <xf numFmtId="0" fontId="25" fillId="0" borderId="65" xfId="0" applyFont="1" applyBorder="1" applyAlignment="1">
      <alignment horizontal="right" vertical="center" indent="2"/>
    </xf>
    <xf numFmtId="0" fontId="13" fillId="0" borderId="122" xfId="0" applyFont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8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0" fillId="7" borderId="20" xfId="0" applyFont="1" applyFill="1" applyBorder="1" applyAlignment="1">
      <alignment horizontal="center" vertical="center"/>
    </xf>
    <xf numFmtId="0" fontId="40" fillId="7" borderId="16" xfId="0" applyFont="1" applyFill="1" applyBorder="1" applyAlignment="1">
      <alignment horizontal="center" vertical="center"/>
    </xf>
    <xf numFmtId="177" fontId="25" fillId="0" borderId="119" xfId="0" applyNumberFormat="1" applyFont="1" applyBorder="1" applyAlignment="1">
      <alignment horizontal="center" vertical="center"/>
    </xf>
    <xf numFmtId="177" fontId="25" fillId="0" borderId="120" xfId="0" applyNumberFormat="1" applyFont="1" applyBorder="1" applyAlignment="1">
      <alignment horizontal="center" vertical="center"/>
    </xf>
    <xf numFmtId="177" fontId="25" fillId="0" borderId="121" xfId="0" applyNumberFormat="1" applyFont="1" applyBorder="1" applyAlignment="1">
      <alignment horizontal="center" vertical="center"/>
    </xf>
    <xf numFmtId="0" fontId="30" fillId="14" borderId="162" xfId="0" applyFont="1" applyFill="1" applyBorder="1" applyAlignment="1">
      <alignment horizontal="center" vertical="center"/>
    </xf>
    <xf numFmtId="0" fontId="30" fillId="14" borderId="163" xfId="0" applyFont="1" applyFill="1" applyBorder="1" applyAlignment="1">
      <alignment horizontal="center" vertical="center"/>
    </xf>
    <xf numFmtId="49" fontId="13" fillId="0" borderId="79" xfId="0" applyNumberFormat="1" applyFont="1" applyBorder="1" applyAlignment="1">
      <alignment horizontal="center" vertical="center"/>
    </xf>
    <xf numFmtId="49" fontId="13" fillId="0" borderId="122" xfId="0" applyNumberFormat="1" applyFont="1" applyBorder="1" applyAlignment="1">
      <alignment horizontal="center" vertical="center"/>
    </xf>
    <xf numFmtId="0" fontId="37" fillId="7" borderId="44" xfId="0" applyFont="1" applyFill="1" applyBorder="1" applyAlignment="1">
      <alignment horizontal="center" vertical="center"/>
    </xf>
    <xf numFmtId="0" fontId="37" fillId="7" borderId="85" xfId="0" applyFont="1" applyFill="1" applyBorder="1" applyAlignment="1">
      <alignment horizontal="center" vertical="center"/>
    </xf>
    <xf numFmtId="49" fontId="0" fillId="14" borderId="123" xfId="0" applyNumberFormat="1" applyFill="1" applyBorder="1" applyAlignment="1">
      <alignment horizontal="center" vertical="center"/>
    </xf>
    <xf numFmtId="49" fontId="0" fillId="14" borderId="91" xfId="0" applyNumberFormat="1" applyFill="1" applyBorder="1" applyAlignment="1">
      <alignment horizontal="center" vertical="center"/>
    </xf>
    <xf numFmtId="49" fontId="0" fillId="14" borderId="94" xfId="0" applyNumberFormat="1" applyFill="1" applyBorder="1" applyAlignment="1">
      <alignment horizontal="center" vertical="center"/>
    </xf>
    <xf numFmtId="49" fontId="0" fillId="14" borderId="95" xfId="0" applyNumberForma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4" borderId="69" xfId="0" applyFill="1" applyBorder="1" applyAlignment="1">
      <alignment horizontal="center" vertical="center"/>
    </xf>
    <xf numFmtId="0" fontId="0" fillId="4" borderId="43" xfId="0" applyFill="1" applyBorder="1" applyAlignment="1">
      <alignment horizontal="center" vertical="center"/>
    </xf>
    <xf numFmtId="0" fontId="26" fillId="4" borderId="126" xfId="0" applyFont="1" applyFill="1" applyBorder="1" applyAlignment="1">
      <alignment horizontal="center" vertical="center"/>
    </xf>
    <xf numFmtId="0" fontId="26" fillId="4" borderId="16" xfId="0" applyFont="1" applyFill="1" applyBorder="1" applyAlignment="1">
      <alignment horizontal="center" vertical="center"/>
    </xf>
    <xf numFmtId="0" fontId="0" fillId="4" borderId="46" xfId="0" applyFill="1" applyBorder="1" applyAlignment="1">
      <alignment horizontal="center" vertical="center"/>
    </xf>
    <xf numFmtId="0" fontId="26" fillId="4" borderId="20" xfId="0" applyFont="1" applyFill="1" applyBorder="1" applyAlignment="1">
      <alignment horizontal="center" vertical="center"/>
    </xf>
    <xf numFmtId="0" fontId="0" fillId="0" borderId="80" xfId="0" applyBorder="1" applyAlignment="1">
      <alignment horizontal="left" vertical="center"/>
    </xf>
    <xf numFmtId="0" fontId="0" fillId="0" borderId="54" xfId="0" applyBorder="1" applyAlignment="1">
      <alignment horizontal="left" vertical="center"/>
    </xf>
    <xf numFmtId="0" fontId="0" fillId="0" borderId="54" xfId="0" applyBorder="1" applyAlignment="1">
      <alignment horizontal="left" vertical="center" shrinkToFit="1"/>
    </xf>
    <xf numFmtId="0" fontId="0" fillId="0" borderId="78" xfId="0" applyBorder="1" applyAlignment="1">
      <alignment horizontal="left" vertical="center" shrinkToFit="1"/>
    </xf>
    <xf numFmtId="38" fontId="22" fillId="8" borderId="89" xfId="1" applyFill="1" applyBorder="1" applyAlignment="1" applyProtection="1">
      <alignment horizontal="center" vertical="center"/>
    </xf>
    <xf numFmtId="38" fontId="22" fillId="8" borderId="90" xfId="1" applyFill="1" applyBorder="1" applyAlignment="1" applyProtection="1">
      <alignment horizontal="center" vertical="center"/>
    </xf>
    <xf numFmtId="0" fontId="0" fillId="7" borderId="42" xfId="0" applyFill="1" applyBorder="1" applyAlignment="1">
      <alignment horizontal="center" vertical="center"/>
    </xf>
    <xf numFmtId="0" fontId="0" fillId="7" borderId="44" xfId="0" applyFill="1" applyBorder="1" applyAlignment="1">
      <alignment horizontal="center" vertical="center"/>
    </xf>
    <xf numFmtId="0" fontId="0" fillId="7" borderId="85" xfId="0" applyFill="1" applyBorder="1" applyAlignment="1">
      <alignment horizontal="center" vertical="center"/>
    </xf>
    <xf numFmtId="177" fontId="25" fillId="0" borderId="0" xfId="0" applyNumberFormat="1" applyFont="1" applyAlignment="1">
      <alignment horizontal="center" vertical="center"/>
    </xf>
    <xf numFmtId="177" fontId="25" fillId="0" borderId="67" xfId="0" applyNumberFormat="1" applyFont="1" applyBorder="1" applyAlignment="1">
      <alignment horizontal="center" vertical="center"/>
    </xf>
    <xf numFmtId="177" fontId="25" fillId="0" borderId="1" xfId="0" applyNumberFormat="1" applyFont="1" applyBorder="1" applyAlignment="1">
      <alignment horizontal="center" vertical="center"/>
    </xf>
    <xf numFmtId="177" fontId="25" fillId="0" borderId="65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6" fontId="0" fillId="0" borderId="17" xfId="0" applyNumberFormat="1" applyBorder="1" applyAlignment="1">
      <alignment horizontal="center" vertical="center"/>
    </xf>
    <xf numFmtId="176" fontId="0" fillId="0" borderId="84" xfId="0" applyNumberFormat="1" applyBorder="1" applyAlignment="1">
      <alignment horizontal="center" vertical="center"/>
    </xf>
    <xf numFmtId="176" fontId="0" fillId="0" borderId="31" xfId="0" applyNumberFormat="1" applyBorder="1" applyAlignment="1">
      <alignment horizontal="center" vertical="center"/>
    </xf>
    <xf numFmtId="0" fontId="27" fillId="0" borderId="42" xfId="0" applyFont="1" applyBorder="1" applyAlignment="1">
      <alignment horizontal="center" vertical="center"/>
    </xf>
    <xf numFmtId="0" fontId="27" fillId="0" borderId="44" xfId="0" applyFont="1" applyBorder="1" applyAlignment="1">
      <alignment horizontal="center" vertical="center"/>
    </xf>
    <xf numFmtId="0" fontId="27" fillId="0" borderId="85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38" fontId="24" fillId="0" borderId="0" xfId="1" applyFont="1" applyBorder="1" applyAlignment="1" applyProtection="1">
      <alignment horizontal="right" vertical="center"/>
    </xf>
    <xf numFmtId="176" fontId="42" fillId="0" borderId="1" xfId="0" applyNumberFormat="1" applyFont="1" applyBorder="1" applyAlignment="1">
      <alignment horizontal="center" vertical="center"/>
    </xf>
    <xf numFmtId="49" fontId="25" fillId="0" borderId="111" xfId="0" applyNumberFormat="1" applyFont="1" applyBorder="1" applyAlignment="1">
      <alignment horizontal="center" vertical="center"/>
    </xf>
    <xf numFmtId="0" fontId="25" fillId="0" borderId="74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0" fillId="4" borderId="80" xfId="0" applyFill="1" applyBorder="1" applyAlignment="1">
      <alignment horizontal="center" vertical="center"/>
    </xf>
    <xf numFmtId="0" fontId="0" fillId="4" borderId="78" xfId="0" applyFill="1" applyBorder="1" applyAlignment="1">
      <alignment horizontal="center" vertical="center"/>
    </xf>
    <xf numFmtId="0" fontId="27" fillId="0" borderId="54" xfId="0" applyFont="1" applyBorder="1" applyAlignment="1">
      <alignment horizontal="center" vertical="center"/>
    </xf>
    <xf numFmtId="0" fontId="27" fillId="14" borderId="43" xfId="0" applyFont="1" applyFill="1" applyBorder="1" applyAlignment="1">
      <alignment horizontal="center" vertical="center"/>
    </xf>
    <xf numFmtId="177" fontId="25" fillId="0" borderId="111" xfId="0" applyNumberFormat="1" applyFont="1" applyBorder="1" applyAlignment="1">
      <alignment horizontal="center" vertical="center"/>
    </xf>
    <xf numFmtId="177" fontId="25" fillId="0" borderId="59" xfId="0" applyNumberFormat="1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 shrinkToFit="1"/>
    </xf>
    <xf numFmtId="0" fontId="13" fillId="0" borderId="79" xfId="0" applyFont="1" applyBorder="1" applyAlignment="1">
      <alignment horizontal="center" vertical="center" shrinkToFit="1"/>
    </xf>
    <xf numFmtId="0" fontId="25" fillId="0" borderId="87" xfId="0" applyFont="1" applyBorder="1" applyAlignment="1">
      <alignment horizontal="center" vertical="center"/>
    </xf>
    <xf numFmtId="0" fontId="25" fillId="0" borderId="88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 wrapText="1" shrinkToFit="1"/>
    </xf>
    <xf numFmtId="0" fontId="25" fillId="0" borderId="64" xfId="0" applyFont="1" applyBorder="1" applyAlignment="1">
      <alignment horizontal="center" vertical="center"/>
    </xf>
    <xf numFmtId="0" fontId="25" fillId="0" borderId="65" xfId="0" applyFont="1" applyBorder="1" applyAlignment="1">
      <alignment horizontal="center" vertical="center"/>
    </xf>
    <xf numFmtId="49" fontId="27" fillId="0" borderId="87" xfId="0" applyNumberFormat="1" applyFont="1" applyBorder="1" applyAlignment="1">
      <alignment horizontal="center" vertical="center" wrapText="1"/>
    </xf>
    <xf numFmtId="49" fontId="27" fillId="0" borderId="74" xfId="0" applyNumberFormat="1" applyFont="1" applyBorder="1" applyAlignment="1">
      <alignment horizontal="center" vertical="center" wrapText="1"/>
    </xf>
    <xf numFmtId="49" fontId="27" fillId="0" borderId="64" xfId="0" applyNumberFormat="1" applyFont="1" applyBorder="1" applyAlignment="1">
      <alignment horizontal="center" vertical="center" wrapText="1"/>
    </xf>
    <xf numFmtId="49" fontId="27" fillId="0" borderId="83" xfId="0" applyNumberFormat="1" applyFont="1" applyBorder="1" applyAlignment="1">
      <alignment horizontal="center" vertical="center" wrapText="1"/>
    </xf>
    <xf numFmtId="49" fontId="27" fillId="0" borderId="43" xfId="0" applyNumberFormat="1" applyFont="1" applyBorder="1" applyAlignment="1">
      <alignment horizontal="center" vertical="center" wrapText="1"/>
    </xf>
    <xf numFmtId="49" fontId="27" fillId="0" borderId="35" xfId="0" applyNumberFormat="1" applyFont="1" applyBorder="1" applyAlignment="1">
      <alignment horizontal="center" vertical="center" wrapText="1"/>
    </xf>
    <xf numFmtId="0" fontId="30" fillId="4" borderId="80" xfId="0" applyFont="1" applyFill="1" applyBorder="1" applyAlignment="1">
      <alignment horizontal="center" vertical="center" shrinkToFit="1"/>
    </xf>
    <xf numFmtId="0" fontId="30" fillId="4" borderId="78" xfId="0" applyFont="1" applyFill="1" applyBorder="1" applyAlignment="1">
      <alignment horizontal="center" vertical="center" shrinkToFit="1"/>
    </xf>
    <xf numFmtId="0" fontId="30" fillId="4" borderId="80" xfId="0" applyFont="1" applyFill="1" applyBorder="1" applyAlignment="1">
      <alignment horizontal="center" vertical="center"/>
    </xf>
    <xf numFmtId="0" fontId="30" fillId="4" borderId="78" xfId="0" applyFont="1" applyFill="1" applyBorder="1" applyAlignment="1">
      <alignment horizontal="center" vertical="center"/>
    </xf>
    <xf numFmtId="0" fontId="27" fillId="0" borderId="87" xfId="0" applyFont="1" applyBorder="1" applyAlignment="1">
      <alignment horizontal="center" vertical="center"/>
    </xf>
    <xf numFmtId="0" fontId="27" fillId="0" borderId="74" xfId="0" applyFont="1" applyBorder="1" applyAlignment="1">
      <alignment horizontal="center" vertical="center"/>
    </xf>
    <xf numFmtId="0" fontId="27" fillId="0" borderId="64" xfId="0" applyFont="1" applyBorder="1" applyAlignment="1">
      <alignment horizontal="center" vertical="center"/>
    </xf>
    <xf numFmtId="0" fontId="27" fillId="0" borderId="83" xfId="0" applyFont="1" applyBorder="1" applyAlignment="1">
      <alignment horizontal="center" vertical="center"/>
    </xf>
    <xf numFmtId="0" fontId="27" fillId="0" borderId="43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0" fontId="40" fillId="7" borderId="31" xfId="0" applyFont="1" applyFill="1" applyBorder="1" applyAlignment="1">
      <alignment horizontal="center" vertical="center"/>
    </xf>
    <xf numFmtId="0" fontId="40" fillId="7" borderId="30" xfId="0" applyFont="1" applyFill="1" applyBorder="1" applyAlignment="1">
      <alignment horizontal="center" vertical="center"/>
    </xf>
    <xf numFmtId="0" fontId="27" fillId="0" borderId="87" xfId="0" applyFont="1" applyBorder="1" applyAlignment="1">
      <alignment horizontal="center" vertical="center" wrapText="1"/>
    </xf>
    <xf numFmtId="0" fontId="27" fillId="0" borderId="74" xfId="0" applyFont="1" applyBorder="1" applyAlignment="1">
      <alignment horizontal="center" vertical="center" wrapText="1"/>
    </xf>
    <xf numFmtId="0" fontId="27" fillId="0" borderId="64" xfId="0" applyFont="1" applyBorder="1" applyAlignment="1">
      <alignment horizontal="center" vertical="center" wrapText="1"/>
    </xf>
    <xf numFmtId="0" fontId="27" fillId="0" borderId="83" xfId="0" applyFont="1" applyBorder="1" applyAlignment="1">
      <alignment horizontal="center" vertical="center" wrapText="1"/>
    </xf>
    <xf numFmtId="0" fontId="27" fillId="0" borderId="43" xfId="0" applyFont="1" applyBorder="1" applyAlignment="1">
      <alignment horizontal="center" vertical="center" wrapText="1"/>
    </xf>
    <xf numFmtId="0" fontId="27" fillId="0" borderId="35" xfId="0" applyFont="1" applyBorder="1" applyAlignment="1">
      <alignment horizontal="center" vertical="center" wrapText="1"/>
    </xf>
    <xf numFmtId="0" fontId="13" fillId="14" borderId="74" xfId="0" applyFont="1" applyFill="1" applyBorder="1" applyAlignment="1">
      <alignment horizontal="center" vertical="center" shrinkToFit="1"/>
    </xf>
    <xf numFmtId="0" fontId="13" fillId="14" borderId="64" xfId="0" applyFont="1" applyFill="1" applyBorder="1" applyAlignment="1">
      <alignment horizontal="center" vertical="center" shrinkToFit="1"/>
    </xf>
    <xf numFmtId="0" fontId="13" fillId="14" borderId="0" xfId="0" applyFont="1" applyFill="1" applyAlignment="1">
      <alignment horizontal="center" vertical="center" shrinkToFit="1"/>
    </xf>
    <xf numFmtId="0" fontId="13" fillId="14" borderId="67" xfId="0" applyFont="1" applyFill="1" applyBorder="1" applyAlignment="1">
      <alignment horizontal="center" vertical="center" shrinkToFit="1"/>
    </xf>
    <xf numFmtId="0" fontId="13" fillId="14" borderId="51" xfId="0" applyFont="1" applyFill="1" applyBorder="1" applyAlignment="1">
      <alignment horizontal="center" vertical="center" shrinkToFit="1"/>
    </xf>
    <xf numFmtId="0" fontId="13" fillId="14" borderId="12" xfId="0" applyFont="1" applyFill="1" applyBorder="1" applyAlignment="1">
      <alignment horizontal="center" vertical="center" shrinkToFit="1"/>
    </xf>
    <xf numFmtId="0" fontId="0" fillId="13" borderId="69" xfId="0" applyFill="1" applyBorder="1" applyAlignment="1">
      <alignment horizontal="center" vertical="center"/>
    </xf>
    <xf numFmtId="0" fontId="0" fillId="13" borderId="43" xfId="0" applyFill="1" applyBorder="1" applyAlignment="1">
      <alignment horizontal="center" vertical="center"/>
    </xf>
    <xf numFmtId="0" fontId="26" fillId="13" borderId="126" xfId="0" applyFont="1" applyFill="1" applyBorder="1" applyAlignment="1">
      <alignment horizontal="center" vertical="center"/>
    </xf>
    <xf numFmtId="0" fontId="26" fillId="13" borderId="16" xfId="0" applyFont="1" applyFill="1" applyBorder="1" applyAlignment="1">
      <alignment horizontal="center" vertical="center"/>
    </xf>
    <xf numFmtId="0" fontId="0" fillId="13" borderId="46" xfId="0" applyFill="1" applyBorder="1" applyAlignment="1">
      <alignment horizontal="center" vertical="center"/>
    </xf>
    <xf numFmtId="0" fontId="26" fillId="13" borderId="20" xfId="0" applyFont="1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30" fillId="5" borderId="42" xfId="0" applyFont="1" applyFill="1" applyBorder="1" applyAlignment="1">
      <alignment horizontal="center" vertical="center"/>
    </xf>
    <xf numFmtId="0" fontId="30" fillId="5" borderId="44" xfId="0" applyFont="1" applyFill="1" applyBorder="1" applyAlignment="1">
      <alignment horizontal="center" vertical="center"/>
    </xf>
    <xf numFmtId="0" fontId="30" fillId="5" borderId="3" xfId="0" applyFont="1" applyFill="1" applyBorder="1" applyAlignment="1">
      <alignment horizontal="center" vertical="center"/>
    </xf>
    <xf numFmtId="0" fontId="30" fillId="5" borderId="34" xfId="0" applyFont="1" applyFill="1" applyBorder="1" applyAlignment="1">
      <alignment horizontal="center" vertical="center"/>
    </xf>
    <xf numFmtId="0" fontId="18" fillId="0" borderId="87" xfId="2" applyFont="1" applyBorder="1" applyAlignment="1">
      <alignment horizontal="center" vertical="center"/>
    </xf>
    <xf numFmtId="0" fontId="18" fillId="0" borderId="96" xfId="2" applyFont="1" applyBorder="1" applyAlignment="1">
      <alignment horizontal="center" vertical="center"/>
    </xf>
    <xf numFmtId="0" fontId="18" fillId="0" borderId="28" xfId="2" applyFont="1" applyBorder="1" applyAlignment="1">
      <alignment horizontal="center" vertical="center"/>
    </xf>
    <xf numFmtId="0" fontId="18" fillId="0" borderId="82" xfId="2" applyFont="1" applyBorder="1" applyAlignment="1">
      <alignment horizontal="center" vertical="center"/>
    </xf>
    <xf numFmtId="0" fontId="18" fillId="0" borderId="88" xfId="2" applyFont="1" applyBorder="1" applyAlignment="1">
      <alignment horizontal="center" vertical="center"/>
    </xf>
    <xf numFmtId="0" fontId="18" fillId="0" borderId="63" xfId="2" applyFont="1" applyBorder="1" applyAlignment="1">
      <alignment horizontal="center" vertical="center"/>
    </xf>
    <xf numFmtId="0" fontId="0" fillId="0" borderId="103" xfId="0" applyBorder="1" applyAlignment="1">
      <alignment horizontal="center" vertical="center"/>
    </xf>
    <xf numFmtId="0" fontId="0" fillId="0" borderId="104" xfId="0" applyBorder="1" applyAlignment="1">
      <alignment horizontal="center" vertical="center"/>
    </xf>
    <xf numFmtId="0" fontId="30" fillId="5" borderId="41" xfId="0" applyFont="1" applyFill="1" applyBorder="1" applyAlignment="1">
      <alignment horizontal="center" vertical="center"/>
    </xf>
    <xf numFmtId="0" fontId="30" fillId="5" borderId="70" xfId="0" applyFont="1" applyFill="1" applyBorder="1" applyAlignment="1">
      <alignment horizontal="center" vertical="center"/>
    </xf>
    <xf numFmtId="0" fontId="30" fillId="5" borderId="57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11" xfId="0" applyBorder="1" applyAlignment="1">
      <alignment horizontal="center" vertical="center" wrapText="1"/>
    </xf>
    <xf numFmtId="0" fontId="0" fillId="0" borderId="96" xfId="0" applyBorder="1" applyAlignment="1">
      <alignment horizontal="center" vertical="center"/>
    </xf>
    <xf numFmtId="0" fontId="9" fillId="0" borderId="100" xfId="2" applyFont="1" applyBorder="1" applyAlignment="1">
      <alignment horizontal="center" vertical="center"/>
    </xf>
    <xf numFmtId="0" fontId="9" fillId="0" borderId="101" xfId="2" applyFont="1" applyBorder="1" applyAlignment="1">
      <alignment horizontal="center" vertical="center"/>
    </xf>
    <xf numFmtId="0" fontId="2" fillId="0" borderId="105" xfId="2" applyBorder="1" applyAlignment="1">
      <alignment horizontal="center" vertical="center" wrapText="1"/>
    </xf>
    <xf numFmtId="0" fontId="2" fillId="0" borderId="106" xfId="2" applyBorder="1" applyAlignment="1">
      <alignment horizontal="center" vertical="center" wrapText="1"/>
    </xf>
    <xf numFmtId="0" fontId="27" fillId="0" borderId="97" xfId="0" applyFont="1" applyBorder="1" applyAlignment="1">
      <alignment horizontal="center" vertical="center"/>
    </xf>
    <xf numFmtId="0" fontId="27" fillId="0" borderId="98" xfId="0" applyFont="1" applyBorder="1" applyAlignment="1">
      <alignment horizontal="center" vertical="center"/>
    </xf>
    <xf numFmtId="0" fontId="27" fillId="0" borderId="135" xfId="0" applyFont="1" applyBorder="1" applyAlignment="1">
      <alignment horizontal="center" vertical="center"/>
    </xf>
    <xf numFmtId="0" fontId="30" fillId="5" borderId="137" xfId="0" applyFont="1" applyFill="1" applyBorder="1" applyAlignment="1">
      <alignment horizontal="center" vertical="center"/>
    </xf>
    <xf numFmtId="0" fontId="30" fillId="5" borderId="98" xfId="0" applyFont="1" applyFill="1" applyBorder="1" applyAlignment="1">
      <alignment horizontal="center" vertical="center"/>
    </xf>
    <xf numFmtId="0" fontId="30" fillId="5" borderId="135" xfId="0" applyFont="1" applyFill="1" applyBorder="1" applyAlignment="1">
      <alignment horizontal="center" vertical="center"/>
    </xf>
    <xf numFmtId="0" fontId="30" fillId="5" borderId="99" xfId="0" applyFont="1" applyFill="1" applyBorder="1" applyAlignment="1">
      <alignment horizontal="center" vertical="center"/>
    </xf>
    <xf numFmtId="0" fontId="30" fillId="5" borderId="5" xfId="0" applyFont="1" applyFill="1" applyBorder="1" applyAlignment="1">
      <alignment horizontal="center" vertical="center"/>
    </xf>
    <xf numFmtId="0" fontId="30" fillId="5" borderId="30" xfId="0" applyFont="1" applyFill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30" fillId="5" borderId="43" xfId="0" applyFont="1" applyFill="1" applyBorder="1" applyAlignment="1">
      <alignment horizontal="center" vertical="center"/>
    </xf>
    <xf numFmtId="0" fontId="17" fillId="9" borderId="107" xfId="2" applyFont="1" applyFill="1" applyBorder="1" applyAlignment="1">
      <alignment horizontal="center" vertical="center"/>
    </xf>
    <xf numFmtId="0" fontId="17" fillId="9" borderId="108" xfId="2" applyFont="1" applyFill="1" applyBorder="1" applyAlignment="1">
      <alignment horizontal="center" vertical="center"/>
    </xf>
    <xf numFmtId="0" fontId="17" fillId="9" borderId="109" xfId="2" applyFont="1" applyFill="1" applyBorder="1" applyAlignment="1">
      <alignment horizontal="center" vertical="center"/>
    </xf>
    <xf numFmtId="0" fontId="17" fillId="9" borderId="110" xfId="2" applyFont="1" applyFill="1" applyBorder="1" applyAlignment="1">
      <alignment horizontal="center" vertical="center"/>
    </xf>
    <xf numFmtId="0" fontId="0" fillId="0" borderId="111" xfId="0" applyBorder="1" applyAlignment="1">
      <alignment horizontal="center" vertical="center"/>
    </xf>
    <xf numFmtId="0" fontId="30" fillId="5" borderId="47" xfId="0" applyFont="1" applyFill="1" applyBorder="1" applyAlignment="1">
      <alignment horizontal="center" vertical="center"/>
    </xf>
    <xf numFmtId="0" fontId="30" fillId="5" borderId="112" xfId="0" applyFont="1" applyFill="1" applyBorder="1" applyAlignment="1">
      <alignment horizontal="center" vertical="center"/>
    </xf>
    <xf numFmtId="0" fontId="30" fillId="5" borderId="16" xfId="0" applyFont="1" applyFill="1" applyBorder="1" applyAlignment="1">
      <alignment horizontal="center" vertical="center"/>
    </xf>
    <xf numFmtId="0" fontId="21" fillId="4" borderId="97" xfId="2" applyFont="1" applyFill="1" applyBorder="1" applyAlignment="1">
      <alignment horizontal="center" vertical="center"/>
    </xf>
    <xf numFmtId="0" fontId="21" fillId="4" borderId="98" xfId="2" applyFont="1" applyFill="1" applyBorder="1" applyAlignment="1">
      <alignment horizontal="center" vertical="center"/>
    </xf>
    <xf numFmtId="0" fontId="21" fillId="4" borderId="99" xfId="2" applyFont="1" applyFill="1" applyBorder="1" applyAlignment="1">
      <alignment horizontal="center" vertical="center"/>
    </xf>
    <xf numFmtId="0" fontId="2" fillId="0" borderId="87" xfId="2" applyBorder="1" applyAlignment="1">
      <alignment horizontal="center" vertical="center" wrapText="1"/>
    </xf>
    <xf numFmtId="0" fontId="2" fillId="0" borderId="64" xfId="2" applyBorder="1" applyAlignment="1">
      <alignment horizontal="center" vertical="center" wrapText="1"/>
    </xf>
    <xf numFmtId="0" fontId="51" fillId="0" borderId="142" xfId="2" applyFont="1" applyBorder="1" applyAlignment="1">
      <alignment horizontal="center" vertical="center"/>
    </xf>
    <xf numFmtId="5" fontId="2" fillId="0" borderId="43" xfId="2" applyNumberFormat="1" applyBorder="1" applyAlignment="1">
      <alignment horizontal="center"/>
    </xf>
    <xf numFmtId="0" fontId="11" fillId="3" borderId="16" xfId="2" applyFont="1" applyFill="1" applyBorder="1" applyAlignment="1">
      <alignment horizontal="center" vertical="center" shrinkToFit="1"/>
    </xf>
    <xf numFmtId="0" fontId="11" fillId="5" borderId="42" xfId="2" applyFont="1" applyFill="1" applyBorder="1" applyAlignment="1">
      <alignment horizontal="center" vertical="center" shrinkToFit="1"/>
    </xf>
    <xf numFmtId="0" fontId="11" fillId="5" borderId="44" xfId="2" applyFont="1" applyFill="1" applyBorder="1" applyAlignment="1">
      <alignment horizontal="center" vertical="center" shrinkToFit="1"/>
    </xf>
    <xf numFmtId="0" fontId="11" fillId="5" borderId="34" xfId="2" applyFont="1" applyFill="1" applyBorder="1" applyAlignment="1">
      <alignment horizontal="center" vertical="center" shrinkToFit="1"/>
    </xf>
    <xf numFmtId="0" fontId="11" fillId="3" borderId="3" xfId="2" applyFont="1" applyFill="1" applyBorder="1" applyAlignment="1">
      <alignment horizontal="center" vertical="center" shrinkToFit="1"/>
    </xf>
    <xf numFmtId="0" fontId="12" fillId="0" borderId="157" xfId="0" applyFont="1" applyBorder="1" applyAlignment="1">
      <alignment horizontal="center" vertical="center"/>
    </xf>
    <xf numFmtId="0" fontId="12" fillId="0" borderId="156" xfId="0" applyFont="1" applyBorder="1" applyAlignment="1">
      <alignment horizontal="center" vertical="center"/>
    </xf>
    <xf numFmtId="0" fontId="16" fillId="9" borderId="87" xfId="2" applyFont="1" applyFill="1" applyBorder="1" applyAlignment="1">
      <alignment horizontal="center" vertical="center"/>
    </xf>
    <xf numFmtId="0" fontId="16" fillId="2" borderId="64" xfId="2" applyFont="1" applyFill="1" applyBorder="1" applyAlignment="1">
      <alignment horizontal="center" vertical="center"/>
    </xf>
    <xf numFmtId="0" fontId="16" fillId="2" borderId="88" xfId="2" applyFont="1" applyFill="1" applyBorder="1" applyAlignment="1">
      <alignment horizontal="center" vertical="center"/>
    </xf>
    <xf numFmtId="0" fontId="16" fillId="2" borderId="65" xfId="2" applyFont="1" applyFill="1" applyBorder="1" applyAlignment="1">
      <alignment horizontal="center" vertical="center"/>
    </xf>
    <xf numFmtId="0" fontId="11" fillId="3" borderId="56" xfId="2" applyFont="1" applyFill="1" applyBorder="1" applyAlignment="1">
      <alignment horizontal="center" vertical="center" shrinkToFit="1"/>
    </xf>
    <xf numFmtId="0" fontId="0" fillId="0" borderId="134" xfId="0" applyBorder="1" applyAlignment="1">
      <alignment horizontal="center" vertical="center"/>
    </xf>
    <xf numFmtId="0" fontId="13" fillId="0" borderId="87" xfId="2" applyFont="1" applyBorder="1" applyAlignment="1">
      <alignment horizontal="center" vertical="center"/>
    </xf>
    <xf numFmtId="0" fontId="13" fillId="0" borderId="64" xfId="2" applyFont="1" applyBorder="1" applyAlignment="1">
      <alignment horizontal="center" vertical="center"/>
    </xf>
    <xf numFmtId="0" fontId="13" fillId="0" borderId="88" xfId="2" applyFont="1" applyBorder="1" applyAlignment="1">
      <alignment horizontal="center" vertical="center"/>
    </xf>
    <xf numFmtId="0" fontId="13" fillId="0" borderId="65" xfId="2" applyFont="1" applyBorder="1" applyAlignment="1">
      <alignment horizontal="center" vertical="center"/>
    </xf>
    <xf numFmtId="0" fontId="11" fillId="3" borderId="47" xfId="2" applyFont="1" applyFill="1" applyBorder="1" applyAlignment="1">
      <alignment horizontal="center" vertical="center" shrinkToFit="1"/>
    </xf>
    <xf numFmtId="0" fontId="11" fillId="3" borderId="71" xfId="2" applyFont="1" applyFill="1" applyBorder="1" applyAlignment="1">
      <alignment horizontal="center" vertical="center" shrinkToFit="1"/>
    </xf>
    <xf numFmtId="0" fontId="11" fillId="3" borderId="112" xfId="2" applyFont="1" applyFill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68" xfId="0" applyFont="1" applyBorder="1" applyAlignment="1">
      <alignment horizontal="center" vertical="center"/>
    </xf>
    <xf numFmtId="0" fontId="11" fillId="0" borderId="1" xfId="2" applyFont="1" applyBorder="1" applyAlignment="1">
      <alignment horizontal="center"/>
    </xf>
    <xf numFmtId="0" fontId="11" fillId="3" borderId="17" xfId="2" applyFont="1" applyFill="1" applyBorder="1" applyAlignment="1">
      <alignment horizontal="center" vertical="center" shrinkToFit="1"/>
    </xf>
    <xf numFmtId="0" fontId="11" fillId="3" borderId="46" xfId="2" applyFont="1" applyFill="1" applyBorder="1" applyAlignment="1">
      <alignment horizontal="center" vertical="center" shrinkToFit="1"/>
    </xf>
    <xf numFmtId="0" fontId="11" fillId="3" borderId="31" xfId="2" applyFont="1" applyFill="1" applyBorder="1" applyAlignment="1">
      <alignment horizontal="center" vertical="center" shrinkToFit="1"/>
    </xf>
    <xf numFmtId="0" fontId="11" fillId="3" borderId="42" xfId="2" applyFont="1" applyFill="1" applyBorder="1" applyAlignment="1">
      <alignment horizontal="center" vertical="center" shrinkToFit="1"/>
    </xf>
    <xf numFmtId="0" fontId="11" fillId="3" borderId="44" xfId="2" applyFont="1" applyFill="1" applyBorder="1" applyAlignment="1">
      <alignment horizontal="center" vertical="center" shrinkToFit="1"/>
    </xf>
    <xf numFmtId="0" fontId="11" fillId="3" borderId="34" xfId="2" applyFont="1" applyFill="1" applyBorder="1" applyAlignment="1">
      <alignment horizontal="center" vertical="center" shrinkToFit="1"/>
    </xf>
    <xf numFmtId="0" fontId="19" fillId="0" borderId="160" xfId="2" applyFont="1" applyBorder="1" applyAlignment="1">
      <alignment horizontal="center" vertical="center"/>
    </xf>
    <xf numFmtId="0" fontId="19" fillId="0" borderId="161" xfId="2" applyFont="1" applyBorder="1" applyAlignment="1">
      <alignment horizontal="center" vertical="center"/>
    </xf>
    <xf numFmtId="5" fontId="2" fillId="0" borderId="97" xfId="2" applyNumberFormat="1" applyBorder="1" applyAlignment="1">
      <alignment horizontal="center" vertical="center"/>
    </xf>
    <xf numFmtId="5" fontId="2" fillId="0" borderId="99" xfId="2" applyNumberFormat="1" applyBorder="1" applyAlignment="1">
      <alignment horizontal="center" vertical="center"/>
    </xf>
    <xf numFmtId="5" fontId="14" fillId="4" borderId="73" xfId="2" applyNumberFormat="1" applyFont="1" applyFill="1" applyBorder="1" applyAlignment="1">
      <alignment horizontal="center" vertical="center"/>
    </xf>
    <xf numFmtId="0" fontId="14" fillId="4" borderId="73" xfId="2" applyFont="1" applyFill="1" applyBorder="1" applyAlignment="1">
      <alignment horizontal="center" vertical="center"/>
    </xf>
    <xf numFmtId="0" fontId="14" fillId="4" borderId="113" xfId="2" applyFont="1" applyFill="1" applyBorder="1" applyAlignment="1">
      <alignment horizontal="center" vertical="center"/>
    </xf>
    <xf numFmtId="0" fontId="11" fillId="2" borderId="36" xfId="2" applyFont="1" applyFill="1" applyBorder="1" applyAlignment="1">
      <alignment horizontal="center" vertical="center" shrinkToFit="1"/>
    </xf>
    <xf numFmtId="0" fontId="11" fillId="2" borderId="35" xfId="2" applyFont="1" applyFill="1" applyBorder="1" applyAlignment="1">
      <alignment horizontal="center" vertical="center" shrinkToFit="1"/>
    </xf>
    <xf numFmtId="0" fontId="2" fillId="0" borderId="97" xfId="2" applyBorder="1" applyAlignment="1">
      <alignment horizontal="center" vertical="center"/>
    </xf>
    <xf numFmtId="0" fontId="2" fillId="0" borderId="99" xfId="2" applyBorder="1" applyAlignment="1">
      <alignment horizontal="center" vertical="center"/>
    </xf>
    <xf numFmtId="0" fontId="11" fillId="2" borderId="78" xfId="2" applyFont="1" applyFill="1" applyBorder="1" applyAlignment="1">
      <alignment horizontal="center" vertical="center" shrinkToFit="1"/>
    </xf>
    <xf numFmtId="0" fontId="10" fillId="0" borderId="100" xfId="2" applyFont="1" applyBorder="1" applyAlignment="1">
      <alignment horizontal="center" vertical="center"/>
    </xf>
    <xf numFmtId="0" fontId="10" fillId="0" borderId="102" xfId="2" applyFont="1" applyBorder="1" applyAlignment="1">
      <alignment horizontal="center" vertical="center"/>
    </xf>
    <xf numFmtId="0" fontId="10" fillId="0" borderId="101" xfId="2" applyFont="1" applyBorder="1" applyAlignment="1">
      <alignment horizontal="center" vertical="center"/>
    </xf>
    <xf numFmtId="0" fontId="12" fillId="0" borderId="92" xfId="0" applyFont="1" applyBorder="1" applyAlignment="1">
      <alignment horizontal="center" vertical="center"/>
    </xf>
    <xf numFmtId="0" fontId="12" fillId="0" borderId="93" xfId="0" applyFont="1" applyBorder="1" applyAlignment="1">
      <alignment horizontal="center" vertical="center"/>
    </xf>
    <xf numFmtId="0" fontId="30" fillId="5" borderId="56" xfId="0" applyFont="1" applyFill="1" applyBorder="1" applyAlignment="1">
      <alignment horizontal="center" vertical="center"/>
    </xf>
    <xf numFmtId="38" fontId="16" fillId="2" borderId="87" xfId="2" applyNumberFormat="1" applyFont="1" applyFill="1" applyBorder="1" applyAlignment="1">
      <alignment horizontal="center" vertical="center"/>
    </xf>
    <xf numFmtId="0" fontId="11" fillId="3" borderId="62" xfId="2" applyFont="1" applyFill="1" applyBorder="1" applyAlignment="1">
      <alignment horizontal="center" vertical="center" shrinkToFit="1"/>
    </xf>
    <xf numFmtId="0" fontId="11" fillId="3" borderId="59" xfId="2" applyFont="1" applyFill="1" applyBorder="1" applyAlignment="1">
      <alignment horizontal="center" vertical="center" shrinkToFit="1"/>
    </xf>
    <xf numFmtId="0" fontId="11" fillId="3" borderId="1" xfId="2" applyFont="1" applyFill="1" applyBorder="1" applyAlignment="1">
      <alignment horizontal="center" vertical="center" shrinkToFit="1"/>
    </xf>
    <xf numFmtId="0" fontId="11" fillId="3" borderId="63" xfId="2" applyFont="1" applyFill="1" applyBorder="1" applyAlignment="1">
      <alignment horizontal="center" vertical="center" shrinkToFit="1"/>
    </xf>
    <xf numFmtId="0" fontId="2" fillId="0" borderId="88" xfId="2" applyBorder="1" applyAlignment="1">
      <alignment horizontal="center" vertical="center"/>
    </xf>
    <xf numFmtId="0" fontId="2" fillId="0" borderId="65" xfId="2" applyBorder="1" applyAlignment="1">
      <alignment horizontal="center" vertical="center"/>
    </xf>
    <xf numFmtId="0" fontId="11" fillId="0" borderId="1" xfId="2" applyFont="1" applyBorder="1" applyAlignment="1">
      <alignment horizontal="left" shrinkToFit="1"/>
    </xf>
    <xf numFmtId="0" fontId="2" fillId="0" borderId="0" xfId="2" applyAlignment="1">
      <alignment horizontal="center"/>
    </xf>
    <xf numFmtId="0" fontId="2" fillId="0" borderId="88" xfId="2" applyBorder="1" applyAlignment="1">
      <alignment horizontal="center" vertical="center" wrapText="1"/>
    </xf>
    <xf numFmtId="0" fontId="11" fillId="3" borderId="137" xfId="2" applyFont="1" applyFill="1" applyBorder="1" applyAlignment="1">
      <alignment horizontal="center" vertical="center" shrinkToFit="1"/>
    </xf>
    <xf numFmtId="0" fontId="11" fillId="3" borderId="98" xfId="2" applyFont="1" applyFill="1" applyBorder="1" applyAlignment="1">
      <alignment horizontal="center" vertical="center" shrinkToFit="1"/>
    </xf>
    <xf numFmtId="0" fontId="11" fillId="3" borderId="135" xfId="2" applyFont="1" applyFill="1" applyBorder="1" applyAlignment="1">
      <alignment horizontal="center" vertical="center" shrinkToFit="1"/>
    </xf>
    <xf numFmtId="0" fontId="11" fillId="2" borderId="85" xfId="2" applyFont="1" applyFill="1" applyBorder="1" applyAlignment="1">
      <alignment horizontal="center" vertical="center" shrinkToFit="1"/>
    </xf>
    <xf numFmtId="0" fontId="19" fillId="0" borderId="114" xfId="2" applyFont="1" applyBorder="1" applyAlignment="1">
      <alignment horizontal="center" vertical="center"/>
    </xf>
    <xf numFmtId="0" fontId="19" fillId="0" borderId="115" xfId="2" applyFont="1" applyBorder="1" applyAlignment="1">
      <alignment horizontal="center" vertical="center"/>
    </xf>
    <xf numFmtId="0" fontId="16" fillId="9" borderId="64" xfId="2" applyFont="1" applyFill="1" applyBorder="1" applyAlignment="1">
      <alignment horizontal="center" vertical="center"/>
    </xf>
    <xf numFmtId="0" fontId="16" fillId="9" borderId="88" xfId="2" applyFont="1" applyFill="1" applyBorder="1" applyAlignment="1">
      <alignment horizontal="center" vertical="center"/>
    </xf>
    <xf numFmtId="0" fontId="16" fillId="9" borderId="65" xfId="2" applyFont="1" applyFill="1" applyBorder="1" applyAlignment="1">
      <alignment horizontal="center" vertical="center"/>
    </xf>
    <xf numFmtId="0" fontId="15" fillId="0" borderId="97" xfId="2" applyFont="1" applyBorder="1" applyAlignment="1">
      <alignment horizontal="center" vertical="center" wrapText="1"/>
    </xf>
    <xf numFmtId="0" fontId="15" fillId="0" borderId="98" xfId="2" applyFont="1" applyBorder="1" applyAlignment="1">
      <alignment horizontal="center" vertical="center"/>
    </xf>
    <xf numFmtId="0" fontId="15" fillId="0" borderId="99" xfId="2" applyFont="1" applyBorder="1" applyAlignment="1">
      <alignment horizontal="center" vertical="center"/>
    </xf>
    <xf numFmtId="0" fontId="0" fillId="0" borderId="114" xfId="0" applyBorder="1" applyAlignment="1">
      <alignment horizontal="center" vertical="center"/>
    </xf>
    <xf numFmtId="0" fontId="0" fillId="0" borderId="115" xfId="0" applyBorder="1" applyAlignment="1">
      <alignment horizontal="center" vertical="center"/>
    </xf>
    <xf numFmtId="0" fontId="0" fillId="0" borderId="116" xfId="0" applyBorder="1" applyAlignment="1">
      <alignment horizontal="center" vertical="center"/>
    </xf>
    <xf numFmtId="0" fontId="0" fillId="0" borderId="117" xfId="0" applyBorder="1" applyAlignment="1">
      <alignment horizontal="center" vertical="center"/>
    </xf>
    <xf numFmtId="0" fontId="37" fillId="0" borderId="87" xfId="0" applyFont="1" applyBorder="1" applyAlignment="1">
      <alignment horizontal="center" vertical="center"/>
    </xf>
    <xf numFmtId="0" fontId="37" fillId="0" borderId="9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7" fillId="0" borderId="11" xfId="0" applyFont="1" applyBorder="1" applyAlignment="1">
      <alignment horizontal="center" vertical="center"/>
    </xf>
    <xf numFmtId="0" fontId="11" fillId="3" borderId="41" xfId="2" applyFont="1" applyFill="1" applyBorder="1" applyAlignment="1">
      <alignment horizontal="center" vertical="center" shrinkToFit="1"/>
    </xf>
    <xf numFmtId="0" fontId="11" fillId="3" borderId="70" xfId="2" applyFont="1" applyFill="1" applyBorder="1" applyAlignment="1">
      <alignment horizontal="center" vertical="center" shrinkToFit="1"/>
    </xf>
    <xf numFmtId="0" fontId="11" fillId="3" borderId="57" xfId="2" applyFont="1" applyFill="1" applyBorder="1" applyAlignment="1">
      <alignment horizontal="center" vertical="center" shrinkToFit="1"/>
    </xf>
    <xf numFmtId="0" fontId="12" fillId="0" borderId="131" xfId="0" applyFont="1" applyBorder="1" applyAlignment="1">
      <alignment horizontal="center" vertical="center"/>
    </xf>
    <xf numFmtId="0" fontId="11" fillId="0" borderId="1" xfId="2" applyFont="1" applyBorder="1" applyAlignment="1">
      <alignment horizontal="left" indent="1"/>
    </xf>
    <xf numFmtId="0" fontId="19" fillId="0" borderId="145" xfId="2" applyFont="1" applyBorder="1" applyAlignment="1">
      <alignment horizontal="center" vertical="center"/>
    </xf>
    <xf numFmtId="0" fontId="19" fillId="0" borderId="146" xfId="2" applyFont="1" applyBorder="1" applyAlignment="1">
      <alignment horizontal="center" vertical="center"/>
    </xf>
    <xf numFmtId="0" fontId="19" fillId="0" borderId="148" xfId="2" applyFont="1" applyBorder="1" applyAlignment="1">
      <alignment horizontal="center" vertical="center"/>
    </xf>
    <xf numFmtId="0" fontId="19" fillId="0" borderId="149" xfId="2" applyFont="1" applyBorder="1" applyAlignment="1">
      <alignment horizontal="center" vertical="center"/>
    </xf>
    <xf numFmtId="0" fontId="25" fillId="0" borderId="97" xfId="0" applyFont="1" applyBorder="1" applyAlignment="1">
      <alignment horizontal="center" vertical="center" wrapText="1"/>
    </xf>
    <xf numFmtId="0" fontId="25" fillId="0" borderId="98" xfId="0" applyFont="1" applyBorder="1" applyAlignment="1">
      <alignment horizontal="center" vertical="center" wrapText="1"/>
    </xf>
    <xf numFmtId="0" fontId="25" fillId="0" borderId="135" xfId="0" applyFont="1" applyBorder="1" applyAlignment="1">
      <alignment horizontal="center" vertical="center" wrapText="1"/>
    </xf>
    <xf numFmtId="0" fontId="37" fillId="0" borderId="27" xfId="0" applyFont="1" applyBorder="1" applyAlignment="1">
      <alignment horizontal="center" vertical="center"/>
    </xf>
    <xf numFmtId="0" fontId="37" fillId="0" borderId="158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25" fillId="0" borderId="87" xfId="0" applyFont="1" applyBorder="1" applyAlignment="1">
      <alignment horizontal="center" vertical="center" wrapText="1"/>
    </xf>
    <xf numFmtId="0" fontId="25" fillId="0" borderId="74" xfId="0" applyFont="1" applyBorder="1" applyAlignment="1">
      <alignment horizontal="center" vertical="center" wrapText="1"/>
    </xf>
    <xf numFmtId="0" fontId="25" fillId="0" borderId="96" xfId="0" applyFont="1" applyBorder="1" applyAlignment="1">
      <alignment horizontal="center" vertical="center" wrapText="1"/>
    </xf>
    <xf numFmtId="0" fontId="25" fillId="0" borderId="88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63" xfId="0" applyFont="1" applyBorder="1" applyAlignment="1">
      <alignment horizontal="center" vertical="center" wrapText="1"/>
    </xf>
    <xf numFmtId="0" fontId="0" fillId="0" borderId="15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96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8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11" fillId="0" borderId="1" xfId="2" applyFont="1" applyBorder="1" applyAlignment="1">
      <alignment horizontal="left"/>
    </xf>
    <xf numFmtId="0" fontId="0" fillId="0" borderId="147" xfId="0" applyBorder="1" applyAlignment="1">
      <alignment horizontal="center" vertical="center"/>
    </xf>
    <xf numFmtId="0" fontId="8" fillId="0" borderId="97" xfId="2" applyFont="1" applyBorder="1" applyAlignment="1">
      <alignment horizontal="center" vertical="center"/>
    </xf>
    <xf numFmtId="0" fontId="8" fillId="0" borderId="98" xfId="2" applyFont="1" applyBorder="1" applyAlignment="1">
      <alignment horizontal="center" vertical="center"/>
    </xf>
    <xf numFmtId="0" fontId="8" fillId="0" borderId="99" xfId="2" applyFont="1" applyBorder="1" applyAlignment="1">
      <alignment horizontal="center" vertical="center"/>
    </xf>
    <xf numFmtId="0" fontId="9" fillId="0" borderId="1" xfId="2" applyFont="1" applyBorder="1" applyAlignment="1">
      <alignment horizontal="center"/>
    </xf>
    <xf numFmtId="0" fontId="2" fillId="0" borderId="1" xfId="2" applyBorder="1" applyAlignment="1">
      <alignment horizontal="center" wrapText="1"/>
    </xf>
    <xf numFmtId="0" fontId="9" fillId="0" borderId="98" xfId="2" applyFont="1" applyBorder="1" applyAlignment="1">
      <alignment horizontal="center" shrinkToFit="1"/>
    </xf>
    <xf numFmtId="0" fontId="9" fillId="0" borderId="1" xfId="2" applyFont="1" applyBorder="1" applyAlignment="1">
      <alignment horizontal="left" shrinkToFit="1"/>
    </xf>
    <xf numFmtId="0" fontId="2" fillId="0" borderId="1" xfId="2" applyBorder="1" applyAlignment="1">
      <alignment horizontal="center"/>
    </xf>
    <xf numFmtId="0" fontId="14" fillId="0" borderId="0" xfId="2" applyFont="1" applyAlignment="1">
      <alignment horizontal="left" vertical="center"/>
    </xf>
    <xf numFmtId="0" fontId="12" fillId="0" borderId="39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0" fillId="5" borderId="45" xfId="0" applyFont="1" applyFill="1" applyBorder="1" applyAlignment="1">
      <alignment horizontal="center" vertical="center"/>
    </xf>
    <xf numFmtId="0" fontId="30" fillId="5" borderId="54" xfId="0" applyFont="1" applyFill="1" applyBorder="1" applyAlignment="1">
      <alignment horizontal="center" vertical="center"/>
    </xf>
    <xf numFmtId="0" fontId="30" fillId="5" borderId="66" xfId="0" applyFont="1" applyFill="1" applyBorder="1" applyAlignment="1">
      <alignment horizontal="center" vertical="center"/>
    </xf>
    <xf numFmtId="0" fontId="30" fillId="5" borderId="111" xfId="0" applyFont="1" applyFill="1" applyBorder="1" applyAlignment="1">
      <alignment horizontal="center" vertical="center"/>
    </xf>
    <xf numFmtId="0" fontId="30" fillId="5" borderId="74" xfId="0" applyFont="1" applyFill="1" applyBorder="1" applyAlignment="1">
      <alignment horizontal="center" vertical="center"/>
    </xf>
    <xf numFmtId="0" fontId="19" fillId="0" borderId="26" xfId="2" applyFont="1" applyBorder="1" applyAlignment="1">
      <alignment horizontal="center" vertical="center"/>
    </xf>
    <xf numFmtId="0" fontId="19" fillId="0" borderId="48" xfId="2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79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6" fillId="0" borderId="80" xfId="2" applyFont="1" applyBorder="1" applyAlignment="1">
      <alignment horizontal="center" vertical="center"/>
    </xf>
    <xf numFmtId="0" fontId="6" fillId="0" borderId="66" xfId="2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27" fillId="0" borderId="96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 wrapText="1"/>
    </xf>
    <xf numFmtId="0" fontId="27" fillId="0" borderId="82" xfId="0" applyFont="1" applyBorder="1" applyAlignment="1">
      <alignment horizontal="center" vertical="center" wrapText="1"/>
    </xf>
    <xf numFmtId="0" fontId="27" fillId="0" borderId="88" xfId="0" applyFont="1" applyBorder="1" applyAlignment="1">
      <alignment horizontal="center" vertical="center" wrapText="1"/>
    </xf>
    <xf numFmtId="0" fontId="27" fillId="0" borderId="63" xfId="0" applyFont="1" applyBorder="1" applyAlignment="1">
      <alignment horizontal="center" vertical="center" wrapText="1"/>
    </xf>
    <xf numFmtId="0" fontId="27" fillId="0" borderId="96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82" xfId="0" applyFont="1" applyBorder="1" applyAlignment="1">
      <alignment horizontal="center" vertical="center"/>
    </xf>
    <xf numFmtId="0" fontId="27" fillId="0" borderId="88" xfId="0" applyFont="1" applyBorder="1" applyAlignment="1">
      <alignment horizontal="center" vertical="center"/>
    </xf>
    <xf numFmtId="0" fontId="27" fillId="0" borderId="63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4" borderId="42" xfId="0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0" fontId="0" fillId="4" borderId="31" xfId="0" applyFill="1" applyBorder="1" applyAlignment="1">
      <alignment horizontal="center" vertical="center"/>
    </xf>
  </cellXfs>
  <cellStyles count="6">
    <cellStyle name="ハイパーリンク" xfId="5" builtinId="8"/>
    <cellStyle name="桁区切り" xfId="1" builtinId="6"/>
    <cellStyle name="標準" xfId="0" builtinId="0"/>
    <cellStyle name="標準 2" xfId="2" xr:uid="{00000000-0005-0000-0000-000003000000}"/>
    <cellStyle name="標準 3" xfId="3" xr:uid="{00000000-0005-0000-0000-000004000000}"/>
    <cellStyle name="標準 4" xfId="4" xr:uid="{00000000-0005-0000-0000-000005000000}"/>
  </cellStyles>
  <dxfs count="8">
    <dxf>
      <font>
        <color theme="0"/>
      </font>
    </dxf>
    <dxf>
      <fill>
        <patternFill>
          <bgColor theme="0" tint="-0.34998626667073579"/>
        </patternFill>
      </fill>
    </dxf>
    <dxf>
      <font>
        <color theme="0"/>
      </font>
    </dxf>
    <dxf>
      <fill>
        <patternFill patternType="solid">
          <bgColor theme="0" tint="-0.34998626667073579"/>
        </patternFill>
      </fill>
    </dxf>
    <dxf>
      <font>
        <color theme="0"/>
      </font>
    </dxf>
    <dxf>
      <fill>
        <patternFill>
          <bgColor theme="0" tint="-0.34998626667073579"/>
        </patternFill>
      </fill>
    </dxf>
    <dxf>
      <font>
        <color theme="0"/>
      </font>
    </dxf>
    <dxf>
      <font>
        <color rgb="FFFF0000"/>
      </font>
    </dxf>
  </dxfs>
  <tableStyles count="0" defaultTableStyle="TableStyleMedium2" defaultPivotStyle="PivotStyleLight16"/>
  <colors>
    <mruColors>
      <color rgb="FFCCFFFF"/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76200</xdr:colOff>
      <xdr:row>1</xdr:row>
      <xdr:rowOff>180975</xdr:rowOff>
    </xdr:from>
    <xdr:to>
      <xdr:col>16</xdr:col>
      <xdr:colOff>742950</xdr:colOff>
      <xdr:row>1</xdr:row>
      <xdr:rowOff>314325</xdr:rowOff>
    </xdr:to>
    <xdr:cxnSp macro="">
      <xdr:nvCxnSpPr>
        <xdr:cNvPr id="28" name="カギ線コネクタ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CxnSpPr/>
      </xdr:nvCxnSpPr>
      <xdr:spPr>
        <a:xfrm flipV="1">
          <a:off x="10839450" y="180975"/>
          <a:ext cx="666750" cy="133350"/>
        </a:xfrm>
        <a:prstGeom prst="bentConnector3">
          <a:avLst>
            <a:gd name="adj1" fmla="val 0"/>
          </a:avLst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209550</xdr:colOff>
      <xdr:row>1</xdr:row>
      <xdr:rowOff>209551</xdr:rowOff>
    </xdr:from>
    <xdr:to>
      <xdr:col>22</xdr:col>
      <xdr:colOff>419102</xdr:colOff>
      <xdr:row>1</xdr:row>
      <xdr:rowOff>333378</xdr:rowOff>
    </xdr:to>
    <xdr:cxnSp macro="">
      <xdr:nvCxnSpPr>
        <xdr:cNvPr id="34" name="カギ線コネクタ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CxnSpPr/>
      </xdr:nvCxnSpPr>
      <xdr:spPr>
        <a:xfrm rot="10800000">
          <a:off x="15068550" y="209551"/>
          <a:ext cx="685802" cy="123827"/>
        </a:xfrm>
        <a:prstGeom prst="bentConnector3">
          <a:avLst>
            <a:gd name="adj1" fmla="val 0"/>
          </a:avLst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45720</xdr:colOff>
      <xdr:row>1</xdr:row>
      <xdr:rowOff>129540</xdr:rowOff>
    </xdr:from>
    <xdr:to>
      <xdr:col>23</xdr:col>
      <xdr:colOff>396240</xdr:colOff>
      <xdr:row>1</xdr:row>
      <xdr:rowOff>312420</xdr:rowOff>
    </xdr:to>
    <xdr:cxnSp macro="">
      <xdr:nvCxnSpPr>
        <xdr:cNvPr id="42" name="カギ線コネクタ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CxnSpPr/>
      </xdr:nvCxnSpPr>
      <xdr:spPr>
        <a:xfrm flipV="1">
          <a:off x="12542520" y="129540"/>
          <a:ext cx="350520" cy="182880"/>
        </a:xfrm>
        <a:prstGeom prst="bentConnector3">
          <a:avLst>
            <a:gd name="adj1" fmla="val 0"/>
          </a:avLst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114300</xdr:colOff>
      <xdr:row>1</xdr:row>
      <xdr:rowOff>121920</xdr:rowOff>
    </xdr:from>
    <xdr:to>
      <xdr:col>9</xdr:col>
      <xdr:colOff>411480</xdr:colOff>
      <xdr:row>1</xdr:row>
      <xdr:rowOff>295276</xdr:rowOff>
    </xdr:to>
    <xdr:cxnSp macro="">
      <xdr:nvCxnSpPr>
        <xdr:cNvPr id="9" name="カギ線コネクタ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 flipV="1">
          <a:off x="5463540" y="121920"/>
          <a:ext cx="297180" cy="173356"/>
        </a:xfrm>
        <a:prstGeom prst="bentConnector3">
          <a:avLst>
            <a:gd name="adj1" fmla="val -1282"/>
          </a:avLst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302895</xdr:colOff>
      <xdr:row>1</xdr:row>
      <xdr:rowOff>144780</xdr:rowOff>
    </xdr:from>
    <xdr:to>
      <xdr:col>12</xdr:col>
      <xdr:colOff>558165</xdr:colOff>
      <xdr:row>1</xdr:row>
      <xdr:rowOff>268607</xdr:rowOff>
    </xdr:to>
    <xdr:cxnSp macro="">
      <xdr:nvCxnSpPr>
        <xdr:cNvPr id="10" name="カギ線コネクタ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/>
      </xdr:nvCxnSpPr>
      <xdr:spPr>
        <a:xfrm rot="10800000">
          <a:off x="8742045" y="144780"/>
          <a:ext cx="255270" cy="123827"/>
        </a:xfrm>
        <a:prstGeom prst="bentConnector3">
          <a:avLst>
            <a:gd name="adj1" fmla="val 0"/>
          </a:avLst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152400</xdr:colOff>
      <xdr:row>1</xdr:row>
      <xdr:rowOff>142876</xdr:rowOff>
    </xdr:from>
    <xdr:to>
      <xdr:col>34</xdr:col>
      <xdr:colOff>600078</xdr:colOff>
      <xdr:row>1</xdr:row>
      <xdr:rowOff>323853</xdr:rowOff>
    </xdr:to>
    <xdr:cxnSp macro="">
      <xdr:nvCxnSpPr>
        <xdr:cNvPr id="11" name="カギ線コネクタ 33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 rot="10800000">
          <a:off x="22136100" y="142876"/>
          <a:ext cx="447678" cy="180977"/>
        </a:xfrm>
        <a:prstGeom prst="bentConnector3">
          <a:avLst>
            <a:gd name="adj1" fmla="val -1063"/>
          </a:avLst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403412</xdr:colOff>
      <xdr:row>1</xdr:row>
      <xdr:rowOff>190501</xdr:rowOff>
    </xdr:from>
    <xdr:to>
      <xdr:col>41</xdr:col>
      <xdr:colOff>626978</xdr:colOff>
      <xdr:row>1</xdr:row>
      <xdr:rowOff>326660</xdr:rowOff>
    </xdr:to>
    <xdr:cxnSp macro="">
      <xdr:nvCxnSpPr>
        <xdr:cNvPr id="8" name="カギ線コネクタ 33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 rot="10800000">
          <a:off x="26120912" y="190501"/>
          <a:ext cx="223566" cy="136159"/>
        </a:xfrm>
        <a:prstGeom prst="bentConnector3">
          <a:avLst>
            <a:gd name="adj1" fmla="val -123"/>
          </a:avLst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44824</xdr:colOff>
      <xdr:row>1</xdr:row>
      <xdr:rowOff>179294</xdr:rowOff>
    </xdr:from>
    <xdr:to>
      <xdr:col>37</xdr:col>
      <xdr:colOff>224117</xdr:colOff>
      <xdr:row>1</xdr:row>
      <xdr:rowOff>350968</xdr:rowOff>
    </xdr:to>
    <xdr:cxnSp macro="">
      <xdr:nvCxnSpPr>
        <xdr:cNvPr id="12" name="カギ線コネクタ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 flipV="1">
          <a:off x="23711648" y="179294"/>
          <a:ext cx="179293" cy="171674"/>
        </a:xfrm>
        <a:prstGeom prst="bentConnector3">
          <a:avLst>
            <a:gd name="adj1" fmla="val -6250"/>
          </a:avLst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FF0000"/>
    <pageSetUpPr fitToPage="1"/>
  </sheetPr>
  <dimension ref="A1:R54"/>
  <sheetViews>
    <sheetView tabSelected="1" zoomScaleNormal="100" workbookViewId="0">
      <selection activeCell="C11" sqref="C11:E11"/>
    </sheetView>
  </sheetViews>
  <sheetFormatPr defaultColWidth="9" defaultRowHeight="13.2" x14ac:dyDescent="0.2"/>
  <cols>
    <col min="1" max="1" width="4.109375" style="53" bestFit="1" customWidth="1"/>
    <col min="2" max="2" width="22.77734375" style="53" customWidth="1"/>
    <col min="3" max="16384" width="9" style="53"/>
  </cols>
  <sheetData>
    <row r="1" spans="2:18" s="43" customFormat="1" ht="33.75" customHeight="1" x14ac:dyDescent="0.2">
      <c r="B1" s="528" t="s">
        <v>340</v>
      </c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44"/>
      <c r="P1" s="44"/>
      <c r="Q1" s="44"/>
      <c r="R1" s="44"/>
    </row>
    <row r="2" spans="2:18" s="43" customFormat="1" ht="33.75" customHeight="1" thickBot="1" x14ac:dyDescent="0.25">
      <c r="B2" s="45" t="s">
        <v>341</v>
      </c>
      <c r="C2" s="46" t="s">
        <v>342</v>
      </c>
      <c r="E2" s="47"/>
      <c r="F2" s="47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spans="2:18" s="43" customFormat="1" ht="33.75" customHeight="1" x14ac:dyDescent="0.2">
      <c r="B3" s="48" t="s">
        <v>343</v>
      </c>
      <c r="C3" s="529"/>
      <c r="D3" s="530"/>
      <c r="E3" s="531"/>
      <c r="F3" s="49" t="s">
        <v>344</v>
      </c>
      <c r="G3" s="532"/>
      <c r="H3" s="533"/>
      <c r="I3" s="534"/>
      <c r="J3" s="71" t="s">
        <v>345</v>
      </c>
      <c r="K3" s="72"/>
      <c r="L3" s="72"/>
      <c r="M3" s="72"/>
      <c r="N3" s="73"/>
      <c r="O3" s="44"/>
      <c r="P3" s="44"/>
      <c r="Q3" s="44"/>
      <c r="R3" s="44"/>
    </row>
    <row r="4" spans="2:18" s="43" customFormat="1" ht="33.75" customHeight="1" x14ac:dyDescent="0.2">
      <c r="B4" s="50" t="s">
        <v>43</v>
      </c>
      <c r="C4" s="524"/>
      <c r="D4" s="525"/>
      <c r="E4" s="525"/>
      <c r="F4" s="525"/>
      <c r="G4" s="525"/>
      <c r="H4" s="525"/>
      <c r="I4" s="526"/>
      <c r="J4" s="535" t="s">
        <v>346</v>
      </c>
      <c r="K4" s="535"/>
      <c r="L4" s="536"/>
      <c r="M4" s="536"/>
      <c r="N4" s="537"/>
      <c r="O4" s="51"/>
      <c r="P4" s="44"/>
      <c r="Q4" s="44"/>
      <c r="R4" s="44"/>
    </row>
    <row r="5" spans="2:18" s="43" customFormat="1" ht="33.75" customHeight="1" x14ac:dyDescent="0.2">
      <c r="B5" s="50" t="s">
        <v>347</v>
      </c>
      <c r="C5" s="552"/>
      <c r="D5" s="552"/>
      <c r="E5" s="552"/>
      <c r="F5" s="535" t="s">
        <v>348</v>
      </c>
      <c r="G5" s="535"/>
      <c r="H5" s="538"/>
      <c r="I5" s="538"/>
      <c r="J5" s="538"/>
      <c r="K5" s="538"/>
      <c r="L5" s="538"/>
      <c r="M5" s="538"/>
      <c r="N5" s="539"/>
      <c r="R5" s="44"/>
    </row>
    <row r="6" spans="2:18" s="43" customFormat="1" ht="33.75" customHeight="1" x14ac:dyDescent="0.2">
      <c r="B6" s="50" t="s">
        <v>349</v>
      </c>
      <c r="C6" s="501"/>
      <c r="D6" s="502"/>
      <c r="E6" s="502"/>
      <c r="F6" s="502"/>
      <c r="G6" s="503"/>
      <c r="H6" s="522" t="s">
        <v>350</v>
      </c>
      <c r="I6" s="523"/>
      <c r="J6" s="505"/>
      <c r="K6" s="506"/>
      <c r="L6" s="506"/>
      <c r="M6" s="506"/>
      <c r="N6" s="507"/>
      <c r="P6" s="44"/>
      <c r="Q6" s="44"/>
      <c r="R6" s="44"/>
    </row>
    <row r="7" spans="2:18" s="43" customFormat="1" ht="33.75" customHeight="1" x14ac:dyDescent="0.2">
      <c r="B7" s="50" t="s">
        <v>366</v>
      </c>
      <c r="C7" s="543"/>
      <c r="D7" s="544"/>
      <c r="E7" s="544"/>
      <c r="F7" s="544"/>
      <c r="G7" s="545"/>
      <c r="H7" s="546" t="s">
        <v>367</v>
      </c>
      <c r="I7" s="547"/>
      <c r="J7" s="548"/>
      <c r="K7" s="549"/>
      <c r="L7" s="549"/>
      <c r="M7" s="549"/>
      <c r="N7" s="550"/>
      <c r="O7" s="44"/>
    </row>
    <row r="8" spans="2:18" s="43" customFormat="1" ht="33.75" customHeight="1" x14ac:dyDescent="0.2">
      <c r="B8" s="52" t="s">
        <v>351</v>
      </c>
      <c r="C8" s="551"/>
      <c r="D8" s="552"/>
      <c r="E8" s="552"/>
      <c r="F8" s="552"/>
      <c r="G8" s="552"/>
      <c r="H8" s="552"/>
      <c r="I8" s="552"/>
      <c r="J8" s="552"/>
      <c r="K8" s="552"/>
      <c r="L8" s="552"/>
      <c r="M8" s="552"/>
      <c r="N8" s="553"/>
      <c r="O8" s="44"/>
      <c r="P8" s="44"/>
      <c r="Q8" s="44"/>
      <c r="R8" s="44"/>
    </row>
    <row r="9" spans="2:18" s="43" customFormat="1" ht="33.75" customHeight="1" x14ac:dyDescent="0.2">
      <c r="B9" s="520" t="s">
        <v>846</v>
      </c>
      <c r="C9" s="504" t="s">
        <v>347</v>
      </c>
      <c r="D9" s="524"/>
      <c r="E9" s="526"/>
      <c r="F9" s="535" t="s">
        <v>348</v>
      </c>
      <c r="G9" s="535"/>
      <c r="H9" s="524"/>
      <c r="I9" s="525"/>
      <c r="J9" s="525"/>
      <c r="K9" s="525"/>
      <c r="L9" s="525"/>
      <c r="M9" s="525"/>
      <c r="N9" s="527"/>
      <c r="O9" s="44"/>
      <c r="P9" s="44"/>
      <c r="Q9" s="44"/>
      <c r="R9" s="44"/>
    </row>
    <row r="10" spans="2:18" s="43" customFormat="1" ht="33.75" customHeight="1" x14ac:dyDescent="0.2">
      <c r="B10" s="521"/>
      <c r="C10" s="504" t="s">
        <v>78</v>
      </c>
      <c r="D10" s="524"/>
      <c r="E10" s="525"/>
      <c r="F10" s="525"/>
      <c r="G10" s="526"/>
      <c r="H10" s="522" t="s">
        <v>335</v>
      </c>
      <c r="I10" s="523"/>
      <c r="J10" s="524"/>
      <c r="K10" s="525"/>
      <c r="L10" s="525"/>
      <c r="M10" s="525"/>
      <c r="N10" s="527"/>
      <c r="O10" s="44"/>
      <c r="P10" s="44"/>
      <c r="Q10" s="44"/>
      <c r="R10" s="44"/>
    </row>
    <row r="11" spans="2:18" s="43" customFormat="1" ht="33.75" customHeight="1" thickBot="1" x14ac:dyDescent="0.25">
      <c r="B11" s="90" t="s">
        <v>508</v>
      </c>
      <c r="C11" s="540"/>
      <c r="D11" s="541"/>
      <c r="E11" s="542"/>
      <c r="F11" s="91"/>
      <c r="G11" s="91"/>
      <c r="H11" s="509"/>
      <c r="I11" s="92"/>
      <c r="J11" s="92"/>
      <c r="K11" s="92"/>
      <c r="L11" s="92"/>
      <c r="M11" s="92"/>
      <c r="N11" s="93"/>
      <c r="O11" s="44"/>
      <c r="P11" s="44"/>
      <c r="Q11" s="44"/>
      <c r="R11" s="44"/>
    </row>
    <row r="12" spans="2:18" customFormat="1" ht="6" customHeight="1" thickBot="1" x14ac:dyDescent="0.25"/>
    <row r="13" spans="2:18" s="43" customFormat="1" ht="25.5" customHeight="1" x14ac:dyDescent="0.25">
      <c r="B13" s="554" t="s">
        <v>661</v>
      </c>
      <c r="C13" s="555"/>
      <c r="D13" s="555"/>
      <c r="E13" s="555"/>
      <c r="F13" s="555"/>
      <c r="G13" s="555"/>
      <c r="H13" s="555"/>
      <c r="I13" s="555"/>
      <c r="J13" s="555"/>
      <c r="K13" s="555"/>
      <c r="L13" s="555"/>
      <c r="M13" s="555"/>
      <c r="N13" s="556"/>
      <c r="O13" s="44"/>
      <c r="P13" s="44"/>
    </row>
    <row r="14" spans="2:18" s="43" customFormat="1" ht="14.4" x14ac:dyDescent="0.2">
      <c r="B14" s="557" t="s">
        <v>662</v>
      </c>
      <c r="C14" s="558"/>
      <c r="D14" s="558"/>
      <c r="E14" s="558"/>
      <c r="F14" s="558"/>
      <c r="G14" s="558"/>
      <c r="H14" s="558"/>
      <c r="I14" s="558"/>
      <c r="J14" s="558"/>
      <c r="K14" s="558"/>
      <c r="L14" s="558"/>
      <c r="M14" s="558"/>
      <c r="N14" s="559"/>
      <c r="O14" s="44"/>
      <c r="P14" s="44"/>
    </row>
    <row r="15" spans="2:18" customFormat="1" ht="33.75" customHeight="1" thickBot="1" x14ac:dyDescent="0.25">
      <c r="B15" s="346" t="s">
        <v>652</v>
      </c>
      <c r="C15" s="560" t="s">
        <v>653</v>
      </c>
      <c r="D15" s="560"/>
      <c r="E15" s="561" t="s">
        <v>654</v>
      </c>
      <c r="F15" s="562"/>
      <c r="G15" s="563"/>
      <c r="H15" s="560" t="s">
        <v>655</v>
      </c>
      <c r="I15" s="560"/>
      <c r="J15" s="564" t="s">
        <v>656</v>
      </c>
      <c r="K15" s="565"/>
      <c r="L15" s="565"/>
      <c r="M15" s="565"/>
      <c r="N15" s="566"/>
    </row>
    <row r="16" spans="2:18" customFormat="1" ht="24" customHeight="1" thickTop="1" x14ac:dyDescent="0.2">
      <c r="B16" s="347" t="s">
        <v>657</v>
      </c>
      <c r="C16" s="567" t="s">
        <v>658</v>
      </c>
      <c r="D16" s="567"/>
      <c r="E16" s="348" t="s">
        <v>663</v>
      </c>
      <c r="F16" s="349" t="s">
        <v>664</v>
      </c>
      <c r="G16" s="350" t="s">
        <v>830</v>
      </c>
      <c r="H16" s="568" t="s">
        <v>659</v>
      </c>
      <c r="I16" s="569"/>
      <c r="J16" s="570" t="s">
        <v>660</v>
      </c>
      <c r="K16" s="571"/>
      <c r="L16" s="571"/>
      <c r="M16" s="571"/>
      <c r="N16" s="572"/>
    </row>
    <row r="17" spans="1:14" customFormat="1" ht="33.75" customHeight="1" x14ac:dyDescent="0.2">
      <c r="B17" s="351"/>
      <c r="C17" s="573"/>
      <c r="D17" s="573"/>
      <c r="E17" s="352"/>
      <c r="F17" s="353"/>
      <c r="G17" s="354"/>
      <c r="H17" s="574"/>
      <c r="I17" s="575"/>
      <c r="J17" s="576"/>
      <c r="K17" s="577"/>
      <c r="L17" s="577"/>
      <c r="M17" s="577"/>
      <c r="N17" s="578"/>
    </row>
    <row r="18" spans="1:14" customFormat="1" ht="33.75" customHeight="1" x14ac:dyDescent="0.2">
      <c r="B18" s="355"/>
      <c r="C18" s="579"/>
      <c r="D18" s="579"/>
      <c r="E18" s="352"/>
      <c r="F18" s="356"/>
      <c r="G18" s="357"/>
      <c r="H18" s="574"/>
      <c r="I18" s="575"/>
      <c r="J18" s="576"/>
      <c r="K18" s="577"/>
      <c r="L18" s="577"/>
      <c r="M18" s="577"/>
      <c r="N18" s="578"/>
    </row>
    <row r="19" spans="1:14" customFormat="1" ht="33.75" customHeight="1" x14ac:dyDescent="0.2">
      <c r="B19" s="355"/>
      <c r="C19" s="579"/>
      <c r="D19" s="579"/>
      <c r="E19" s="352"/>
      <c r="F19" s="356"/>
      <c r="G19" s="357"/>
      <c r="H19" s="574"/>
      <c r="I19" s="575"/>
      <c r="J19" s="576"/>
      <c r="K19" s="577"/>
      <c r="L19" s="577"/>
      <c r="M19" s="577"/>
      <c r="N19" s="578"/>
    </row>
    <row r="20" spans="1:14" customFormat="1" ht="33.75" customHeight="1" x14ac:dyDescent="0.2">
      <c r="B20" s="355"/>
      <c r="C20" s="579"/>
      <c r="D20" s="579"/>
      <c r="E20" s="352"/>
      <c r="F20" s="356"/>
      <c r="G20" s="357"/>
      <c r="H20" s="574"/>
      <c r="I20" s="575"/>
      <c r="J20" s="576"/>
      <c r="K20" s="577"/>
      <c r="L20" s="577"/>
      <c r="M20" s="577"/>
      <c r="N20" s="578"/>
    </row>
    <row r="21" spans="1:14" customFormat="1" ht="33.75" customHeight="1" x14ac:dyDescent="0.2">
      <c r="B21" s="355"/>
      <c r="C21" s="579"/>
      <c r="D21" s="579"/>
      <c r="E21" s="352"/>
      <c r="F21" s="356"/>
      <c r="G21" s="357"/>
      <c r="H21" s="574"/>
      <c r="I21" s="575"/>
      <c r="J21" s="576"/>
      <c r="K21" s="577"/>
      <c r="L21" s="577"/>
      <c r="M21" s="577"/>
      <c r="N21" s="578"/>
    </row>
    <row r="22" spans="1:14" customFormat="1" ht="33.75" customHeight="1" thickBot="1" x14ac:dyDescent="0.25">
      <c r="B22" s="358"/>
      <c r="C22" s="580"/>
      <c r="D22" s="580"/>
      <c r="E22" s="359"/>
      <c r="F22" s="360"/>
      <c r="G22" s="361"/>
      <c r="H22" s="581"/>
      <c r="I22" s="582"/>
      <c r="J22" s="583"/>
      <c r="K22" s="584"/>
      <c r="L22" s="584"/>
      <c r="M22" s="584"/>
      <c r="N22" s="585"/>
    </row>
    <row r="24" spans="1:14" ht="26.25" customHeight="1" x14ac:dyDescent="0.2">
      <c r="B24" s="54" t="s">
        <v>352</v>
      </c>
      <c r="D24" s="55"/>
    </row>
    <row r="25" spans="1:14" ht="16.2" x14ac:dyDescent="0.2">
      <c r="A25" s="45" t="s">
        <v>341</v>
      </c>
      <c r="B25" s="56" t="s">
        <v>369</v>
      </c>
      <c r="D25" s="57"/>
      <c r="E25" s="57"/>
      <c r="F25" s="57"/>
      <c r="G25" s="57"/>
      <c r="H25" s="57"/>
      <c r="I25" s="57"/>
      <c r="J25" s="57"/>
      <c r="K25" s="57"/>
      <c r="L25" s="57"/>
      <c r="M25" s="57"/>
    </row>
    <row r="26" spans="1:14" ht="16.2" x14ac:dyDescent="0.2">
      <c r="A26" s="58"/>
      <c r="B26" s="56" t="s">
        <v>370</v>
      </c>
      <c r="D26" s="55"/>
    </row>
    <row r="27" spans="1:14" ht="16.2" x14ac:dyDescent="0.2">
      <c r="A27" s="58"/>
      <c r="B27" s="56" t="s">
        <v>353</v>
      </c>
      <c r="D27" s="55"/>
    </row>
    <row r="28" spans="1:14" ht="16.2" x14ac:dyDescent="0.2">
      <c r="A28" s="58"/>
      <c r="B28" s="56"/>
      <c r="D28" s="55"/>
    </row>
    <row r="29" spans="1:14" ht="21.75" customHeight="1" x14ac:dyDescent="0.2">
      <c r="A29" s="59" t="s">
        <v>354</v>
      </c>
      <c r="B29" s="60" t="s">
        <v>355</v>
      </c>
    </row>
    <row r="30" spans="1:14" ht="21.75" customHeight="1" x14ac:dyDescent="0.2">
      <c r="A30" s="59" t="s">
        <v>375</v>
      </c>
      <c r="B30" s="282" t="s">
        <v>580</v>
      </c>
    </row>
    <row r="31" spans="1:14" ht="21.75" customHeight="1" x14ac:dyDescent="0.2">
      <c r="A31" s="59"/>
      <c r="B31" s="282" t="s">
        <v>581</v>
      </c>
    </row>
    <row r="32" spans="1:14" ht="21.75" customHeight="1" x14ac:dyDescent="0.2">
      <c r="A32" s="59" t="s">
        <v>376</v>
      </c>
      <c r="B32" s="88" t="s">
        <v>523</v>
      </c>
      <c r="F32" s="61" t="s">
        <v>387</v>
      </c>
    </row>
    <row r="33" spans="1:5" ht="21.75" customHeight="1" x14ac:dyDescent="0.2">
      <c r="A33" s="59"/>
      <c r="B33" s="79" t="s">
        <v>524</v>
      </c>
      <c r="E33" s="61"/>
    </row>
    <row r="34" spans="1:5" ht="21.75" customHeight="1" x14ac:dyDescent="0.2">
      <c r="A34" s="59"/>
      <c r="B34" s="79" t="s">
        <v>413</v>
      </c>
      <c r="E34" s="61"/>
    </row>
    <row r="35" spans="1:5" ht="21.75" customHeight="1" x14ac:dyDescent="0.2">
      <c r="A35" s="59" t="s">
        <v>377</v>
      </c>
      <c r="B35" s="53" t="s">
        <v>356</v>
      </c>
    </row>
    <row r="36" spans="1:5" ht="21.75" customHeight="1" x14ac:dyDescent="0.2">
      <c r="A36" s="59" t="s">
        <v>378</v>
      </c>
      <c r="B36" s="65" t="s">
        <v>373</v>
      </c>
    </row>
    <row r="37" spans="1:5" ht="21.75" customHeight="1" x14ac:dyDescent="0.2">
      <c r="A37" s="59"/>
      <c r="B37" s="53" t="s">
        <v>372</v>
      </c>
    </row>
    <row r="38" spans="1:5" ht="21.75" customHeight="1" x14ac:dyDescent="0.2">
      <c r="B38" s="88" t="s">
        <v>576</v>
      </c>
    </row>
    <row r="39" spans="1:5" ht="21.75" customHeight="1" x14ac:dyDescent="0.2">
      <c r="A39" s="59" t="s">
        <v>518</v>
      </c>
      <c r="B39" s="53" t="s">
        <v>374</v>
      </c>
    </row>
    <row r="40" spans="1:5" ht="21.75" customHeight="1" x14ac:dyDescent="0.2">
      <c r="A40" s="59"/>
      <c r="B40" s="61" t="s">
        <v>371</v>
      </c>
    </row>
    <row r="41" spans="1:5" ht="21.75" customHeight="1" x14ac:dyDescent="0.2">
      <c r="A41" s="59"/>
      <c r="B41" s="61" t="s">
        <v>519</v>
      </c>
    </row>
    <row r="42" spans="1:5" ht="21.75" customHeight="1" x14ac:dyDescent="0.2">
      <c r="A42" s="59" t="s">
        <v>379</v>
      </c>
      <c r="B42" s="88" t="s">
        <v>575</v>
      </c>
    </row>
    <row r="43" spans="1:5" ht="21.75" customHeight="1" x14ac:dyDescent="0.2">
      <c r="A43" s="45" t="s">
        <v>357</v>
      </c>
      <c r="B43" s="56" t="s">
        <v>358</v>
      </c>
    </row>
    <row r="44" spans="1:5" ht="21.75" customHeight="1" x14ac:dyDescent="0.2">
      <c r="A44" s="67" t="s">
        <v>357</v>
      </c>
      <c r="B44" s="68" t="s">
        <v>361</v>
      </c>
    </row>
    <row r="45" spans="1:5" ht="21.75" customHeight="1" x14ac:dyDescent="0.2">
      <c r="A45" s="62" t="s">
        <v>357</v>
      </c>
      <c r="B45" s="63" t="s">
        <v>359</v>
      </c>
    </row>
    <row r="46" spans="1:5" ht="21.75" customHeight="1" x14ac:dyDescent="0.2">
      <c r="A46" s="62" t="s">
        <v>357</v>
      </c>
      <c r="B46" s="63" t="s">
        <v>360</v>
      </c>
    </row>
    <row r="47" spans="1:5" ht="21.75" customHeight="1" x14ac:dyDescent="0.2">
      <c r="A47" s="62" t="s">
        <v>357</v>
      </c>
      <c r="B47" s="63" t="s">
        <v>388</v>
      </c>
    </row>
    <row r="48" spans="1:5" ht="21.75" customHeight="1" x14ac:dyDescent="0.2">
      <c r="A48" s="62"/>
      <c r="B48" s="61"/>
    </row>
    <row r="49" spans="1:2" ht="21.75" customHeight="1" x14ac:dyDescent="0.2">
      <c r="A49" s="59" t="s">
        <v>362</v>
      </c>
      <c r="B49" s="88" t="s">
        <v>520</v>
      </c>
    </row>
    <row r="50" spans="1:2" ht="21.75" customHeight="1" x14ac:dyDescent="0.2">
      <c r="A50" s="59" t="s">
        <v>362</v>
      </c>
      <c r="B50" s="53" t="s">
        <v>363</v>
      </c>
    </row>
    <row r="51" spans="1:2" ht="21.75" customHeight="1" x14ac:dyDescent="0.2">
      <c r="A51" s="59" t="s">
        <v>362</v>
      </c>
      <c r="B51" s="88" t="s">
        <v>610</v>
      </c>
    </row>
    <row r="52" spans="1:2" ht="21.75" customHeight="1" x14ac:dyDescent="0.2">
      <c r="A52" s="59" t="s">
        <v>362</v>
      </c>
      <c r="B52" s="65" t="s">
        <v>577</v>
      </c>
    </row>
    <row r="53" spans="1:2" ht="21.75" customHeight="1" x14ac:dyDescent="0.2">
      <c r="A53" s="59"/>
      <c r="B53" s="53" t="s">
        <v>364</v>
      </c>
    </row>
    <row r="54" spans="1:2" ht="21.75" customHeight="1" x14ac:dyDescent="0.2">
      <c r="A54" s="59"/>
      <c r="B54" s="53" t="s">
        <v>365</v>
      </c>
    </row>
  </sheetData>
  <sheetProtection algorithmName="SHA-512" hashValue="yp9ZPUwJBWM0xxXRw4DvR1YCpvRFLpjR31+zV0khR570LrM7AX+hR8TMKq9HBiyZeLnFls33MkDwWoCA9XRBPA==" saltValue="cXdctlOzDIo9yVWm+fMXNg==" spinCount="100000" sheet="1" selectLockedCells="1"/>
  <mergeCells count="49">
    <mergeCell ref="C22:D22"/>
    <mergeCell ref="H22:I22"/>
    <mergeCell ref="J22:N22"/>
    <mergeCell ref="C20:D20"/>
    <mergeCell ref="H20:I20"/>
    <mergeCell ref="J20:N20"/>
    <mergeCell ref="C21:D21"/>
    <mergeCell ref="H21:I21"/>
    <mergeCell ref="J21:N21"/>
    <mergeCell ref="C18:D18"/>
    <mergeCell ref="H18:I18"/>
    <mergeCell ref="J18:N18"/>
    <mergeCell ref="C19:D19"/>
    <mergeCell ref="H19:I19"/>
    <mergeCell ref="J19:N19"/>
    <mergeCell ref="C16:D16"/>
    <mergeCell ref="H16:I16"/>
    <mergeCell ref="J16:N16"/>
    <mergeCell ref="C17:D17"/>
    <mergeCell ref="H17:I17"/>
    <mergeCell ref="J17:N17"/>
    <mergeCell ref="B13:N13"/>
    <mergeCell ref="B14:N14"/>
    <mergeCell ref="C15:D15"/>
    <mergeCell ref="E15:G15"/>
    <mergeCell ref="H15:I15"/>
    <mergeCell ref="J15:N15"/>
    <mergeCell ref="H5:N5"/>
    <mergeCell ref="H6:I6"/>
    <mergeCell ref="C11:E11"/>
    <mergeCell ref="C7:G7"/>
    <mergeCell ref="H7:I7"/>
    <mergeCell ref="J7:N7"/>
    <mergeCell ref="C8:N8"/>
    <mergeCell ref="C5:E5"/>
    <mergeCell ref="F5:G5"/>
    <mergeCell ref="F9:G9"/>
    <mergeCell ref="B1:N1"/>
    <mergeCell ref="C3:E3"/>
    <mergeCell ref="G3:I3"/>
    <mergeCell ref="C4:I4"/>
    <mergeCell ref="J4:K4"/>
    <mergeCell ref="L4:N4"/>
    <mergeCell ref="B9:B10"/>
    <mergeCell ref="H10:I10"/>
    <mergeCell ref="D10:G10"/>
    <mergeCell ref="D9:E9"/>
    <mergeCell ref="H9:N9"/>
    <mergeCell ref="J10:N10"/>
  </mergeCells>
  <phoneticPr fontId="4"/>
  <dataValidations count="5">
    <dataValidation type="list" allowBlank="1" showInputMessage="1" showErrorMessage="1" sqref="C3:E3" xr:uid="{00000000-0002-0000-0000-000000000000}">
      <formula1>都県</formula1>
    </dataValidation>
    <dataValidation imeMode="halfAlpha" allowBlank="1" showInputMessage="1" showErrorMessage="1" sqref="G3:I3" xr:uid="{00000000-0002-0000-0000-000001000000}"/>
    <dataValidation imeMode="hiragana" allowBlank="1" showInputMessage="1" showErrorMessage="1" sqref="C4:I4 L4:N4 H5:N5 C7:G7 J7:N7 E12" xr:uid="{00000000-0002-0000-0000-000002000000}"/>
    <dataValidation type="list" allowBlank="1" showInputMessage="1" showErrorMessage="1" sqref="C11:E11" xr:uid="{00000000-0002-0000-0000-000003000000}">
      <formula1>"許可する,許可しない"</formula1>
    </dataValidation>
    <dataValidation type="list" allowBlank="1" showInputMessage="1" showErrorMessage="1" sqref="H17:I22" xr:uid="{00000000-0002-0000-0000-000004000000}">
      <formula1>"他団体から複合出場,他団体へ複合出場"</formula1>
    </dataValidation>
  </dataValidations>
  <pageMargins left="0.25" right="0.2" top="0.55000000000000004" bottom="0.2" header="0.3" footer="0.2"/>
  <pageSetup paperSize="9" scale="64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FFFF00"/>
  </sheetPr>
  <dimension ref="A1:DV120"/>
  <sheetViews>
    <sheetView zoomScaleNormal="100" workbookViewId="0">
      <pane xSplit="9" ySplit="12" topLeftCell="J15" activePane="bottomRight" state="frozen"/>
      <selection activeCell="A97" sqref="A97:XFD97"/>
      <selection pane="topRight" activeCell="A97" sqref="A97:XFD97"/>
      <selection pane="bottomLeft" activeCell="A97" sqref="A97:XFD97"/>
      <selection pane="bottomRight" activeCell="C13" sqref="C13"/>
    </sheetView>
  </sheetViews>
  <sheetFormatPr defaultColWidth="9" defaultRowHeight="18.75" customHeight="1" x14ac:dyDescent="0.2"/>
  <cols>
    <col min="1" max="1" width="3.44140625" hidden="1" customWidth="1"/>
    <col min="2" max="2" width="4.33203125" style="25" bestFit="1" customWidth="1"/>
    <col min="3" max="3" width="13.109375" style="25" customWidth="1"/>
    <col min="4" max="4" width="13.77734375" style="25" customWidth="1"/>
    <col min="5" max="5" width="17.109375" style="25" customWidth="1"/>
    <col min="6" max="6" width="5.21875" style="260" customWidth="1"/>
    <col min="7" max="7" width="16.109375" style="217" bestFit="1" customWidth="1"/>
    <col min="8" max="8" width="11.109375" style="261" customWidth="1"/>
    <col min="9" max="9" width="7.33203125" style="1" customWidth="1"/>
    <col min="10" max="13" width="7.44140625" style="217" customWidth="1"/>
    <col min="14" max="15" width="7.44140625" style="217" hidden="1" customWidth="1"/>
    <col min="16" max="16" width="16.33203125" style="217" bestFit="1" customWidth="1"/>
    <col min="17" max="21" width="10.77734375" style="217" customWidth="1"/>
    <col min="22" max="22" width="6.21875" style="217" customWidth="1"/>
    <col min="23" max="23" width="6.21875" style="260" customWidth="1"/>
    <col min="24" max="24" width="4.77734375" bestFit="1" customWidth="1"/>
    <col min="25" max="25" width="8.88671875" bestFit="1" customWidth="1"/>
    <col min="26" max="26" width="4.77734375" bestFit="1" customWidth="1"/>
    <col min="27" max="27" width="8.88671875" bestFit="1" customWidth="1"/>
    <col min="28" max="28" width="4.77734375" bestFit="1" customWidth="1"/>
    <col min="29" max="29" width="8.88671875" bestFit="1" customWidth="1"/>
    <col min="30" max="30" width="4.77734375" bestFit="1" customWidth="1"/>
    <col min="31" max="31" width="8.88671875" bestFit="1" customWidth="1"/>
    <col min="32" max="32" width="4.77734375" bestFit="1" customWidth="1"/>
    <col min="33" max="33" width="8.88671875" bestFit="1" customWidth="1"/>
    <col min="34" max="34" width="4.44140625" style="25" bestFit="1" customWidth="1"/>
    <col min="35" max="35" width="8.88671875" style="25" bestFit="1" customWidth="1"/>
    <col min="36" max="36" width="4.77734375" hidden="1" customWidth="1"/>
    <col min="37" max="37" width="8.88671875" hidden="1" customWidth="1"/>
    <col min="38" max="38" width="8.88671875" customWidth="1"/>
    <col min="39" max="39" width="4.77734375" customWidth="1"/>
    <col min="40" max="40" width="8.88671875" customWidth="1"/>
    <col min="41" max="41" width="4.44140625" style="25" customWidth="1"/>
    <col min="42" max="42" width="8.88671875" style="25" customWidth="1"/>
    <col min="43" max="43" width="16.6640625" style="25" hidden="1" customWidth="1"/>
    <col min="44" max="44" width="19.44140625" style="25" hidden="1" customWidth="1"/>
    <col min="45" max="46" width="9" hidden="1" customWidth="1"/>
    <col min="47" max="47" width="16.6640625" style="155" hidden="1" customWidth="1"/>
    <col min="48" max="48" width="5.21875" hidden="1" customWidth="1"/>
    <col min="49" max="49" width="9.88671875" hidden="1" customWidth="1"/>
    <col min="50" max="50" width="5.44140625" hidden="1" customWidth="1"/>
    <col min="51" max="51" width="5.33203125" hidden="1" customWidth="1"/>
    <col min="52" max="52" width="9" hidden="1" customWidth="1"/>
    <col min="53" max="59" width="9" style="1" hidden="1" customWidth="1"/>
    <col min="60" max="62" width="9" hidden="1" customWidth="1"/>
    <col min="63" max="63" width="11.6640625" hidden="1" customWidth="1"/>
    <col min="64" max="64" width="10.109375" hidden="1" customWidth="1"/>
    <col min="65" max="66" width="9" hidden="1" customWidth="1"/>
    <col min="67" max="67" width="6.77734375" hidden="1" customWidth="1"/>
    <col min="68" max="68" width="5.44140625" hidden="1" customWidth="1"/>
    <col min="69" max="69" width="10.44140625" hidden="1" customWidth="1"/>
    <col min="70" max="70" width="9" hidden="1" customWidth="1"/>
    <col min="71" max="71" width="1.44140625" hidden="1" customWidth="1"/>
    <col min="72" max="72" width="8" style="156" hidden="1" customWidth="1"/>
    <col min="73" max="73" width="10.109375" hidden="1" customWidth="1"/>
    <col min="74" max="74" width="4.77734375" hidden="1" customWidth="1"/>
    <col min="75" max="75" width="10.109375" hidden="1" customWidth="1"/>
    <col min="76" max="76" width="4.77734375" hidden="1" customWidth="1"/>
    <col min="77" max="77" width="10.109375" hidden="1" customWidth="1"/>
    <col min="78" max="78" width="4.77734375" hidden="1" customWidth="1"/>
    <col min="79" max="79" width="9" hidden="1" customWidth="1"/>
    <col min="80" max="80" width="4.77734375" hidden="1" customWidth="1"/>
    <col min="81" max="81" width="9" hidden="1" customWidth="1"/>
    <col min="82" max="83" width="4.77734375" hidden="1" customWidth="1"/>
    <col min="84" max="85" width="6" hidden="1" customWidth="1"/>
    <col min="86" max="86" width="6.77734375" hidden="1" customWidth="1"/>
    <col min="87" max="87" width="4.44140625" style="1" hidden="1" customWidth="1"/>
    <col min="88" max="88" width="5" hidden="1" customWidth="1"/>
    <col min="89" max="89" width="10.44140625" hidden="1" customWidth="1"/>
    <col min="90" max="90" width="9" hidden="1" customWidth="1"/>
    <col min="91" max="91" width="5" hidden="1" customWidth="1"/>
    <col min="92" max="92" width="9" hidden="1" customWidth="1"/>
    <col min="93" max="93" width="4.77734375" hidden="1" customWidth="1"/>
    <col min="94" max="94" width="1.44140625" hidden="1" customWidth="1"/>
    <col min="95" max="95" width="5.44140625" hidden="1" customWidth="1"/>
    <col min="96" max="96" width="5.33203125" hidden="1" customWidth="1"/>
    <col min="97" max="97" width="8" style="156" hidden="1" customWidth="1"/>
    <col min="98" max="98" width="10.109375" hidden="1" customWidth="1"/>
    <col min="99" max="100" width="4.77734375" hidden="1" customWidth="1"/>
    <col min="101" max="102" width="6" hidden="1" customWidth="1"/>
    <col min="103" max="103" width="6.77734375" hidden="1" customWidth="1"/>
    <col min="104" max="104" width="4.44140625" style="1" hidden="1" customWidth="1"/>
    <col min="105" max="105" width="5" hidden="1" customWidth="1"/>
    <col min="106" max="106" width="10.44140625" hidden="1" customWidth="1"/>
    <col min="107" max="107" width="9" hidden="1" customWidth="1"/>
    <col min="108" max="108" width="5" hidden="1" customWidth="1"/>
    <col min="109" max="109" width="4.77734375" hidden="1" customWidth="1"/>
    <col min="110" max="113" width="7.109375" style="157" hidden="1" customWidth="1"/>
    <col min="114" max="114" width="8.44140625" style="157" hidden="1" customWidth="1"/>
    <col min="115" max="118" width="7" hidden="1" customWidth="1"/>
    <col min="119" max="119" width="9" style="157" hidden="1" customWidth="1"/>
    <col min="120" max="120" width="3.33203125" hidden="1" customWidth="1"/>
    <col min="121" max="125" width="6.6640625" hidden="1" customWidth="1"/>
    <col min="126" max="126" width="18.33203125" hidden="1" customWidth="1"/>
    <col min="127" max="127" width="18.33203125" customWidth="1"/>
    <col min="128" max="128" width="9" customWidth="1"/>
  </cols>
  <sheetData>
    <row r="1" spans="1:126" ht="18.75" hidden="1" customHeight="1" x14ac:dyDescent="0.2">
      <c r="I1" s="517" t="s">
        <v>845</v>
      </c>
      <c r="AL1" s="517" t="s">
        <v>845</v>
      </c>
      <c r="DG1" s="517" t="s">
        <v>845</v>
      </c>
      <c r="DH1" s="517" t="s">
        <v>845</v>
      </c>
      <c r="DJ1" s="517" t="s">
        <v>845</v>
      </c>
      <c r="DK1" s="517" t="s">
        <v>845</v>
      </c>
    </row>
    <row r="2" spans="1:126" ht="28.5" customHeight="1" thickBot="1" x14ac:dyDescent="0.25">
      <c r="B2" s="149" t="s">
        <v>76</v>
      </c>
      <c r="C2" s="149"/>
      <c r="D2" s="149"/>
      <c r="E2" s="149"/>
      <c r="F2" s="150"/>
      <c r="G2" s="151"/>
      <c r="H2" s="152"/>
      <c r="I2" s="153"/>
      <c r="J2" s="673" t="s">
        <v>569</v>
      </c>
      <c r="K2" s="673"/>
      <c r="L2" s="673"/>
      <c r="M2" s="673"/>
      <c r="N2" s="673"/>
      <c r="O2" s="673"/>
      <c r="P2" s="345" t="s">
        <v>650</v>
      </c>
      <c r="Q2" s="673" t="s">
        <v>166</v>
      </c>
      <c r="R2" s="673"/>
      <c r="S2" s="673"/>
      <c r="T2" s="673"/>
      <c r="U2" s="673"/>
      <c r="V2" s="673"/>
      <c r="W2" s="673"/>
      <c r="X2" s="673" t="s">
        <v>569</v>
      </c>
      <c r="Y2" s="673"/>
      <c r="Z2" s="673"/>
      <c r="AA2" s="673"/>
      <c r="AB2" s="673"/>
      <c r="AC2" s="673"/>
      <c r="AD2" s="673"/>
      <c r="AE2" s="673"/>
      <c r="AF2" s="673"/>
      <c r="AG2" s="673"/>
      <c r="AH2" s="673"/>
      <c r="AI2" s="673"/>
      <c r="AJ2" s="673"/>
      <c r="AK2" s="153"/>
      <c r="AL2" s="411" t="s">
        <v>844</v>
      </c>
      <c r="AM2" s="153"/>
      <c r="AN2" s="153"/>
      <c r="AO2" s="153"/>
      <c r="AP2" s="153"/>
      <c r="AQ2" s="154"/>
      <c r="AR2" s="154"/>
      <c r="AS2" s="152"/>
      <c r="AT2" s="152"/>
    </row>
    <row r="3" spans="1:126" ht="18.75" customHeight="1" x14ac:dyDescent="0.2">
      <c r="B3" s="650">
        <f>団体情報・入力の仕方!$C$3</f>
        <v>0</v>
      </c>
      <c r="C3" s="651"/>
      <c r="D3" s="651"/>
      <c r="E3" s="652">
        <f>団体情報・入力の仕方!$C$4</f>
        <v>0</v>
      </c>
      <c r="F3" s="652"/>
      <c r="G3" s="653"/>
      <c r="H3" s="610" t="s">
        <v>0</v>
      </c>
      <c r="I3" s="624" t="s">
        <v>688</v>
      </c>
      <c r="J3" s="679" t="s">
        <v>539</v>
      </c>
      <c r="K3" s="679"/>
      <c r="L3" s="679"/>
      <c r="M3" s="679"/>
      <c r="N3" s="679"/>
      <c r="O3" s="679"/>
      <c r="P3" s="588" t="s">
        <v>635</v>
      </c>
      <c r="Q3" s="700" t="s">
        <v>63</v>
      </c>
      <c r="R3" s="701"/>
      <c r="S3" s="701"/>
      <c r="T3" s="701"/>
      <c r="U3" s="701"/>
      <c r="V3" s="701"/>
      <c r="W3" s="702"/>
      <c r="X3" s="708" t="s">
        <v>634</v>
      </c>
      <c r="Y3" s="709"/>
      <c r="Z3" s="709"/>
      <c r="AA3" s="709"/>
      <c r="AB3" s="709"/>
      <c r="AC3" s="709"/>
      <c r="AD3" s="709"/>
      <c r="AE3" s="709"/>
      <c r="AF3" s="709"/>
      <c r="AG3" s="709"/>
      <c r="AH3" s="709"/>
      <c r="AI3" s="710"/>
      <c r="AJ3" s="714" t="s">
        <v>619</v>
      </c>
      <c r="AK3" s="715"/>
      <c r="AL3" s="690" t="s">
        <v>690</v>
      </c>
      <c r="AM3" s="691"/>
      <c r="AN3" s="691"/>
      <c r="AO3" s="691"/>
      <c r="AP3" s="692"/>
      <c r="AQ3" s="463"/>
      <c r="AR3" s="464"/>
    </row>
    <row r="4" spans="1:126" ht="18.75" customHeight="1" x14ac:dyDescent="0.2">
      <c r="B4" s="663" t="s">
        <v>77</v>
      </c>
      <c r="C4" s="622" t="s">
        <v>521</v>
      </c>
      <c r="D4" s="622" t="s">
        <v>78</v>
      </c>
      <c r="E4" s="622" t="s">
        <v>399</v>
      </c>
      <c r="F4" s="622" t="s">
        <v>23</v>
      </c>
      <c r="G4" s="665" t="s">
        <v>79</v>
      </c>
      <c r="H4" s="611"/>
      <c r="I4" s="625"/>
      <c r="J4" s="668" t="s">
        <v>540</v>
      </c>
      <c r="K4" s="669"/>
      <c r="L4" s="669"/>
      <c r="M4" s="670"/>
      <c r="N4" s="680" t="s">
        <v>541</v>
      </c>
      <c r="O4" s="680"/>
      <c r="P4" s="589"/>
      <c r="Q4" s="703"/>
      <c r="R4" s="704"/>
      <c r="S4" s="704"/>
      <c r="T4" s="704"/>
      <c r="U4" s="704"/>
      <c r="V4" s="704"/>
      <c r="W4" s="705"/>
      <c r="X4" s="711"/>
      <c r="Y4" s="712"/>
      <c r="Z4" s="712"/>
      <c r="AA4" s="712"/>
      <c r="AB4" s="712"/>
      <c r="AC4" s="712"/>
      <c r="AD4" s="712"/>
      <c r="AE4" s="712"/>
      <c r="AF4" s="712"/>
      <c r="AG4" s="712"/>
      <c r="AH4" s="712"/>
      <c r="AI4" s="713"/>
      <c r="AJ4" s="716"/>
      <c r="AK4" s="717"/>
      <c r="AL4" s="693"/>
      <c r="AM4" s="694"/>
      <c r="AN4" s="694"/>
      <c r="AO4" s="694"/>
      <c r="AP4" s="695"/>
      <c r="AQ4" s="632" t="s">
        <v>570</v>
      </c>
      <c r="AR4" s="633"/>
    </row>
    <row r="5" spans="1:126" ht="26.25" customHeight="1" thickBot="1" x14ac:dyDescent="0.25">
      <c r="B5" s="664"/>
      <c r="C5" s="623"/>
      <c r="D5" s="623"/>
      <c r="E5" s="623"/>
      <c r="F5" s="623"/>
      <c r="G5" s="666"/>
      <c r="H5" s="612"/>
      <c r="I5" s="626"/>
      <c r="J5" s="158" t="s">
        <v>542</v>
      </c>
      <c r="K5" s="158" t="s">
        <v>543</v>
      </c>
      <c r="L5" s="158" t="s">
        <v>544</v>
      </c>
      <c r="M5" s="159" t="s">
        <v>545</v>
      </c>
      <c r="N5" s="454" t="s">
        <v>543</v>
      </c>
      <c r="O5" s="455" t="s">
        <v>544</v>
      </c>
      <c r="P5" s="332"/>
      <c r="Q5" s="160" t="s">
        <v>21</v>
      </c>
      <c r="R5" s="161" t="s">
        <v>24</v>
      </c>
      <c r="S5" s="162" t="s">
        <v>156</v>
      </c>
      <c r="T5" s="163" t="s">
        <v>50</v>
      </c>
      <c r="U5" s="161" t="s">
        <v>155</v>
      </c>
      <c r="V5" s="634" t="s">
        <v>51</v>
      </c>
      <c r="W5" s="635"/>
      <c r="X5" s="683" t="s">
        <v>80</v>
      </c>
      <c r="Y5" s="684"/>
      <c r="Z5" s="598" t="s">
        <v>24</v>
      </c>
      <c r="AA5" s="599"/>
      <c r="AB5" s="598" t="s">
        <v>39</v>
      </c>
      <c r="AC5" s="599"/>
      <c r="AD5" s="598" t="s">
        <v>40</v>
      </c>
      <c r="AE5" s="599"/>
      <c r="AF5" s="598" t="s">
        <v>25</v>
      </c>
      <c r="AG5" s="599"/>
      <c r="AH5" s="598" t="s">
        <v>578</v>
      </c>
      <c r="AI5" s="621"/>
      <c r="AJ5" s="718"/>
      <c r="AK5" s="719"/>
      <c r="AL5" s="408" t="s">
        <v>689</v>
      </c>
      <c r="AM5" s="687" t="s">
        <v>691</v>
      </c>
      <c r="AN5" s="599"/>
      <c r="AO5" s="687" t="s">
        <v>692</v>
      </c>
      <c r="AP5" s="621"/>
      <c r="AQ5" s="426" t="s">
        <v>81</v>
      </c>
      <c r="AR5" s="427" t="s">
        <v>82</v>
      </c>
    </row>
    <row r="6" spans="1:126" ht="18.75" customHeight="1" thickTop="1" x14ac:dyDescent="0.2">
      <c r="B6" s="164" t="s">
        <v>83</v>
      </c>
      <c r="C6" s="165" t="s">
        <v>522</v>
      </c>
      <c r="D6" s="166" t="s">
        <v>84</v>
      </c>
      <c r="E6" s="166" t="s">
        <v>400</v>
      </c>
      <c r="F6" s="167"/>
      <c r="G6" s="168">
        <v>41796</v>
      </c>
      <c r="H6" s="169"/>
      <c r="I6" s="170">
        <v>12</v>
      </c>
      <c r="J6" s="171"/>
      <c r="K6" s="171"/>
      <c r="L6" s="171" t="s">
        <v>517</v>
      </c>
      <c r="M6" s="172"/>
      <c r="N6" s="456"/>
      <c r="O6" s="457"/>
      <c r="P6" s="333"/>
      <c r="Q6" s="174" t="s">
        <v>157</v>
      </c>
      <c r="R6" s="171"/>
      <c r="S6" s="171"/>
      <c r="T6" s="175"/>
      <c r="U6" s="171"/>
      <c r="V6" s="176" t="s">
        <v>157</v>
      </c>
      <c r="W6" s="177" t="s">
        <v>391</v>
      </c>
      <c r="X6" s="170" t="s">
        <v>516</v>
      </c>
      <c r="Y6" s="178" t="s">
        <v>831</v>
      </c>
      <c r="Z6" s="178" t="s">
        <v>516</v>
      </c>
      <c r="AA6" s="178" t="s">
        <v>832</v>
      </c>
      <c r="AB6" s="178"/>
      <c r="AC6" s="178" t="s">
        <v>611</v>
      </c>
      <c r="AD6" s="178"/>
      <c r="AE6" s="178" t="s">
        <v>611</v>
      </c>
      <c r="AF6" s="178"/>
      <c r="AG6" s="178" t="s">
        <v>611</v>
      </c>
      <c r="AH6" s="179"/>
      <c r="AI6" s="368" t="s">
        <v>611</v>
      </c>
      <c r="AJ6" s="490"/>
      <c r="AK6" s="491" t="s">
        <v>611</v>
      </c>
      <c r="AL6" s="407">
        <v>13</v>
      </c>
      <c r="AM6" s="178" t="s">
        <v>516</v>
      </c>
      <c r="AN6" s="178" t="s">
        <v>834</v>
      </c>
      <c r="AO6" s="179"/>
      <c r="AP6" s="409"/>
      <c r="AQ6" s="428" t="s">
        <v>613</v>
      </c>
      <c r="AR6" s="429" t="s">
        <v>616</v>
      </c>
    </row>
    <row r="7" spans="1:126" ht="18.75" customHeight="1" x14ac:dyDescent="0.2">
      <c r="B7" s="126"/>
      <c r="C7" s="21"/>
      <c r="D7" s="180" t="s">
        <v>165</v>
      </c>
      <c r="E7" s="181"/>
      <c r="F7" s="167"/>
      <c r="G7" s="168"/>
      <c r="H7" s="182"/>
      <c r="I7" s="183">
        <v>12</v>
      </c>
      <c r="J7" s="171"/>
      <c r="K7" s="171"/>
      <c r="L7" s="171"/>
      <c r="M7" s="172"/>
      <c r="N7" s="458"/>
      <c r="O7" s="457"/>
      <c r="P7" s="333"/>
      <c r="Q7" s="174" t="s">
        <v>158</v>
      </c>
      <c r="R7" s="171"/>
      <c r="S7" s="171"/>
      <c r="T7" s="175"/>
      <c r="U7" s="171"/>
      <c r="V7" s="173"/>
      <c r="W7" s="177"/>
      <c r="X7" s="170"/>
      <c r="Y7" s="178" t="s">
        <v>611</v>
      </c>
      <c r="Z7" s="178"/>
      <c r="AA7" s="178"/>
      <c r="AB7" s="178"/>
      <c r="AC7" s="178" t="s">
        <v>611</v>
      </c>
      <c r="AD7" s="178"/>
      <c r="AE7" s="178" t="s">
        <v>611</v>
      </c>
      <c r="AF7" s="178"/>
      <c r="AG7" s="178" t="s">
        <v>611</v>
      </c>
      <c r="AH7" s="179"/>
      <c r="AI7" s="368" t="s">
        <v>611</v>
      </c>
      <c r="AJ7" s="490"/>
      <c r="AK7" s="491" t="s">
        <v>611</v>
      </c>
      <c r="AL7" s="170">
        <v>13</v>
      </c>
      <c r="AM7" s="178"/>
      <c r="AN7" s="178"/>
      <c r="AO7" s="179"/>
      <c r="AP7" s="409"/>
      <c r="AQ7" s="430"/>
      <c r="AR7" s="431"/>
      <c r="AZ7" t="s">
        <v>86</v>
      </c>
    </row>
    <row r="8" spans="1:126" ht="18.75" customHeight="1" x14ac:dyDescent="0.2">
      <c r="B8" s="120" t="s">
        <v>83</v>
      </c>
      <c r="C8" s="21" t="s">
        <v>522</v>
      </c>
      <c r="D8" s="184" t="s">
        <v>85</v>
      </c>
      <c r="E8" s="184" t="s">
        <v>401</v>
      </c>
      <c r="F8" s="167"/>
      <c r="G8" s="187">
        <v>38603</v>
      </c>
      <c r="H8" s="185"/>
      <c r="I8" s="170">
        <v>21</v>
      </c>
      <c r="J8" s="171"/>
      <c r="K8" s="171"/>
      <c r="L8" s="171"/>
      <c r="M8" s="172"/>
      <c r="N8" s="458"/>
      <c r="O8" s="457"/>
      <c r="P8" s="333"/>
      <c r="Q8" s="174"/>
      <c r="R8" s="171"/>
      <c r="S8" s="171"/>
      <c r="T8" s="175"/>
      <c r="U8" s="171" t="s">
        <v>157</v>
      </c>
      <c r="V8" s="191" t="s">
        <v>159</v>
      </c>
      <c r="W8" s="177" t="s">
        <v>161</v>
      </c>
      <c r="X8" s="170"/>
      <c r="Y8" s="178" t="s">
        <v>611</v>
      </c>
      <c r="Z8" s="178"/>
      <c r="AA8" s="178" t="s">
        <v>611</v>
      </c>
      <c r="AB8" s="178" t="s">
        <v>516</v>
      </c>
      <c r="AC8" s="178" t="s">
        <v>833</v>
      </c>
      <c r="AD8" s="178"/>
      <c r="AE8" s="178" t="s">
        <v>611</v>
      </c>
      <c r="AF8" s="178"/>
      <c r="AG8" s="178" t="s">
        <v>611</v>
      </c>
      <c r="AH8" s="179" t="s">
        <v>582</v>
      </c>
      <c r="AI8" s="368" t="s">
        <v>827</v>
      </c>
      <c r="AJ8" s="490" t="s">
        <v>516</v>
      </c>
      <c r="AK8" s="491" t="s">
        <v>612</v>
      </c>
      <c r="AL8" s="170">
        <v>22</v>
      </c>
      <c r="AM8" s="178" t="s">
        <v>516</v>
      </c>
      <c r="AN8" s="178" t="s">
        <v>726</v>
      </c>
      <c r="AO8" s="179" t="s">
        <v>582</v>
      </c>
      <c r="AP8" s="409" t="s">
        <v>612</v>
      </c>
      <c r="AQ8" s="432" t="s">
        <v>614</v>
      </c>
      <c r="AR8" s="433" t="s">
        <v>617</v>
      </c>
      <c r="AZ8" s="1"/>
      <c r="BU8" s="1"/>
      <c r="BV8" s="1"/>
      <c r="BW8" s="1"/>
      <c r="BX8" s="1"/>
      <c r="BY8" s="1"/>
      <c r="BZ8" s="1"/>
      <c r="CA8" s="1"/>
      <c r="CB8" s="1"/>
      <c r="CC8" s="1"/>
      <c r="CD8" s="1"/>
      <c r="CF8" s="1"/>
      <c r="CG8" s="1"/>
      <c r="CH8" s="1"/>
      <c r="CJ8" s="1"/>
      <c r="CK8" s="1"/>
      <c r="CL8" s="1"/>
      <c r="CM8" s="1"/>
      <c r="CN8" s="1"/>
      <c r="CO8" s="1"/>
      <c r="CT8" s="1"/>
      <c r="CU8" s="1"/>
      <c r="CW8" s="1"/>
      <c r="CX8" s="1"/>
      <c r="CY8" s="1"/>
      <c r="DA8" s="1"/>
      <c r="DB8" s="1"/>
      <c r="DC8" s="1"/>
      <c r="DD8" s="1"/>
    </row>
    <row r="9" spans="1:126" ht="18.75" customHeight="1" thickBot="1" x14ac:dyDescent="0.25">
      <c r="B9" s="120" t="s">
        <v>83</v>
      </c>
      <c r="C9" s="21" t="s">
        <v>522</v>
      </c>
      <c r="D9" s="184" t="s">
        <v>87</v>
      </c>
      <c r="E9" s="184" t="s">
        <v>402</v>
      </c>
      <c r="F9" s="30" t="s">
        <v>88</v>
      </c>
      <c r="G9" s="187">
        <v>37134</v>
      </c>
      <c r="H9" s="185"/>
      <c r="I9" s="170">
        <v>25</v>
      </c>
      <c r="J9" s="188"/>
      <c r="K9" s="188"/>
      <c r="L9" s="188"/>
      <c r="M9" s="189"/>
      <c r="N9" s="459"/>
      <c r="O9" s="460"/>
      <c r="P9" s="334"/>
      <c r="Q9" s="190"/>
      <c r="R9" s="188" t="s">
        <v>159</v>
      </c>
      <c r="S9" s="188"/>
      <c r="T9" s="192"/>
      <c r="U9" s="188"/>
      <c r="V9" s="191" t="s">
        <v>390</v>
      </c>
      <c r="W9" s="193" t="s">
        <v>160</v>
      </c>
      <c r="X9" s="365" t="s">
        <v>516</v>
      </c>
      <c r="Y9" s="195" t="s">
        <v>828</v>
      </c>
      <c r="Z9" s="194"/>
      <c r="AA9" s="195" t="s">
        <v>611</v>
      </c>
      <c r="AB9" s="194"/>
      <c r="AC9" s="195" t="s">
        <v>611</v>
      </c>
      <c r="AD9" s="194" t="s">
        <v>516</v>
      </c>
      <c r="AE9" s="195" t="s">
        <v>827</v>
      </c>
      <c r="AF9" s="194"/>
      <c r="AG9" s="195" t="s">
        <v>611</v>
      </c>
      <c r="AH9" s="186" t="s">
        <v>583</v>
      </c>
      <c r="AI9" s="1" t="s">
        <v>827</v>
      </c>
      <c r="AJ9" s="492"/>
      <c r="AK9" s="493" t="s">
        <v>611</v>
      </c>
      <c r="AL9" s="170">
        <v>26</v>
      </c>
      <c r="AM9" s="194"/>
      <c r="AN9" s="195"/>
      <c r="AO9" s="186" t="s">
        <v>724</v>
      </c>
      <c r="AP9" s="409" t="s">
        <v>612</v>
      </c>
      <c r="AQ9" s="432"/>
      <c r="AR9" s="433" t="s">
        <v>615</v>
      </c>
      <c r="AU9" s="508" t="s">
        <v>835</v>
      </c>
      <c r="BU9" s="1"/>
      <c r="BV9" s="1"/>
      <c r="BW9" s="1"/>
      <c r="BX9" s="1"/>
      <c r="BY9" s="1"/>
      <c r="BZ9" s="1"/>
      <c r="CA9" s="1"/>
      <c r="CB9" s="1"/>
      <c r="CC9" s="1"/>
      <c r="CD9" s="1"/>
      <c r="CF9" s="1"/>
      <c r="CG9" s="1"/>
      <c r="CH9" s="1"/>
      <c r="CJ9" s="1"/>
      <c r="CK9" s="1"/>
      <c r="CL9" s="1"/>
      <c r="CM9" s="1"/>
      <c r="CN9" s="1"/>
      <c r="CO9" s="1"/>
      <c r="CT9" s="1"/>
      <c r="CU9" s="1"/>
      <c r="CW9" s="1"/>
      <c r="CX9" s="1"/>
      <c r="CY9" s="1"/>
      <c r="DA9" s="1"/>
      <c r="DB9" s="1"/>
      <c r="DC9" s="1"/>
      <c r="DD9" s="1"/>
      <c r="DE9" s="1"/>
      <c r="DF9"/>
      <c r="DG9"/>
      <c r="DH9"/>
      <c r="DI9"/>
      <c r="DJ9"/>
      <c r="DK9" s="1"/>
      <c r="DL9" s="1"/>
      <c r="DM9" s="1"/>
      <c r="DN9" s="1"/>
      <c r="DO9" s="196"/>
      <c r="DP9" s="1"/>
      <c r="DQ9" s="197" t="s">
        <v>599</v>
      </c>
      <c r="DR9" s="197"/>
      <c r="DS9" s="1"/>
      <c r="DT9" s="1"/>
      <c r="DU9" s="1"/>
    </row>
    <row r="10" spans="1:126" ht="18.75" customHeight="1" thickBot="1" x14ac:dyDescent="0.25">
      <c r="B10" s="198" t="s">
        <v>83</v>
      </c>
      <c r="C10" s="199" t="s">
        <v>522</v>
      </c>
      <c r="D10" s="199" t="s">
        <v>90</v>
      </c>
      <c r="E10" s="199" t="s">
        <v>403</v>
      </c>
      <c r="F10" s="200" t="s">
        <v>88</v>
      </c>
      <c r="G10" s="201">
        <v>39307</v>
      </c>
      <c r="H10" s="202"/>
      <c r="I10" s="203">
        <v>19</v>
      </c>
      <c r="J10" s="204"/>
      <c r="K10" s="204"/>
      <c r="L10" s="204"/>
      <c r="M10" s="205" t="s">
        <v>517</v>
      </c>
      <c r="N10" s="461"/>
      <c r="O10" s="462"/>
      <c r="P10" s="335"/>
      <c r="Q10" s="206"/>
      <c r="R10" s="204"/>
      <c r="S10" s="204" t="s">
        <v>302</v>
      </c>
      <c r="T10" s="208" t="s">
        <v>158</v>
      </c>
      <c r="U10" s="204"/>
      <c r="V10" s="207" t="s">
        <v>157</v>
      </c>
      <c r="W10" s="209" t="s">
        <v>392</v>
      </c>
      <c r="X10" s="203"/>
      <c r="Y10" s="210" t="s">
        <v>611</v>
      </c>
      <c r="Z10" s="210"/>
      <c r="AA10" s="210" t="s">
        <v>611</v>
      </c>
      <c r="AB10" s="210"/>
      <c r="AC10" s="210" t="s">
        <v>611</v>
      </c>
      <c r="AD10" s="210"/>
      <c r="AE10" s="210" t="s">
        <v>611</v>
      </c>
      <c r="AF10" s="210" t="s">
        <v>516</v>
      </c>
      <c r="AG10" s="210" t="s">
        <v>836</v>
      </c>
      <c r="AH10" s="211"/>
      <c r="AI10" s="369"/>
      <c r="AJ10" s="494"/>
      <c r="AK10" s="495" t="s">
        <v>611</v>
      </c>
      <c r="AL10" s="203">
        <v>20</v>
      </c>
      <c r="AM10" s="210"/>
      <c r="AN10" s="210"/>
      <c r="AO10" s="211"/>
      <c r="AP10" s="410"/>
      <c r="AQ10" s="434"/>
      <c r="AR10" s="435" t="s">
        <v>618</v>
      </c>
      <c r="AU10"/>
      <c r="AZ10" s="1"/>
      <c r="BA10" s="642" t="s">
        <v>574</v>
      </c>
      <c r="BB10" s="643"/>
      <c r="BC10" s="643"/>
      <c r="BD10" s="643"/>
      <c r="BE10" s="277"/>
      <c r="BF10" s="278"/>
      <c r="BG10" s="341" t="s">
        <v>645</v>
      </c>
      <c r="BH10" s="636" t="s">
        <v>63</v>
      </c>
      <c r="BI10" s="636"/>
      <c r="BJ10" s="636"/>
      <c r="BK10" s="636"/>
      <c r="BL10" s="636"/>
      <c r="BM10" s="636"/>
      <c r="BN10" s="636"/>
      <c r="BO10" s="636"/>
      <c r="BP10" s="636"/>
      <c r="BQ10" s="636"/>
      <c r="BR10" s="637"/>
      <c r="BU10" s="212" t="s">
        <v>495</v>
      </c>
      <c r="BV10" s="212"/>
      <c r="BW10" s="212"/>
      <c r="BX10" s="212"/>
      <c r="BY10" s="212"/>
      <c r="BZ10" s="212"/>
      <c r="CA10" s="212"/>
      <c r="CB10" s="212"/>
      <c r="CC10" s="212"/>
      <c r="CD10" s="212"/>
      <c r="CF10" s="309"/>
      <c r="CG10" s="213"/>
      <c r="CH10" s="214"/>
      <c r="CI10" s="214"/>
      <c r="CJ10" s="214"/>
      <c r="CK10" s="214"/>
      <c r="CL10" s="214"/>
      <c r="CM10" s="214"/>
      <c r="CN10" s="212"/>
      <c r="CO10" s="212"/>
      <c r="CT10" s="373" t="s">
        <v>693</v>
      </c>
      <c r="CU10" s="373"/>
      <c r="CV10" s="374"/>
      <c r="CW10" s="375"/>
      <c r="CX10" s="375"/>
      <c r="CY10" s="376"/>
      <c r="CZ10" s="376"/>
      <c r="DA10" s="376"/>
      <c r="DB10" s="376"/>
      <c r="DC10" s="376"/>
      <c r="DD10" s="376"/>
      <c r="DS10" s="215" t="s">
        <v>38</v>
      </c>
      <c r="DT10" s="216">
        <f>SUM(DQ11:DU11)</f>
        <v>0</v>
      </c>
      <c r="DU10" s="402"/>
    </row>
    <row r="11" spans="1:126" ht="18.75" customHeight="1" thickBot="1" x14ac:dyDescent="0.2">
      <c r="B11" s="615" t="s">
        <v>303</v>
      </c>
      <c r="C11" s="616"/>
      <c r="D11" s="616"/>
      <c r="E11" s="616"/>
      <c r="F11" s="616"/>
      <c r="G11" s="617"/>
      <c r="H11" s="654"/>
      <c r="I11" s="592"/>
      <c r="J11" s="629">
        <f t="shared" ref="J11:O11" si="0">COUNTIF(J13:J72,"○")</f>
        <v>0</v>
      </c>
      <c r="K11" s="629">
        <f t="shared" si="0"/>
        <v>0</v>
      </c>
      <c r="L11" s="629">
        <f t="shared" si="0"/>
        <v>0</v>
      </c>
      <c r="M11" s="630">
        <f t="shared" si="0"/>
        <v>0</v>
      </c>
      <c r="N11" s="629">
        <f t="shared" si="0"/>
        <v>0</v>
      </c>
      <c r="O11" s="681">
        <f t="shared" si="0"/>
        <v>0</v>
      </c>
      <c r="P11" s="590">
        <f t="shared" ref="P11:U11" si="1">COUNTIF(P13:P72,"**")</f>
        <v>0</v>
      </c>
      <c r="Q11" s="590">
        <f t="shared" si="1"/>
        <v>0</v>
      </c>
      <c r="R11" s="613">
        <f t="shared" si="1"/>
        <v>0</v>
      </c>
      <c r="S11" s="613">
        <f t="shared" si="1"/>
        <v>0</v>
      </c>
      <c r="T11" s="613">
        <f t="shared" si="1"/>
        <v>0</v>
      </c>
      <c r="U11" s="613">
        <f t="shared" si="1"/>
        <v>0</v>
      </c>
      <c r="V11" s="659">
        <f>COUNTA($V$13:$V$72)/2</f>
        <v>0</v>
      </c>
      <c r="W11" s="660"/>
      <c r="X11" s="685">
        <f>COUNTIF($X$13:$X$72,"**")</f>
        <v>0</v>
      </c>
      <c r="Y11" s="675"/>
      <c r="Z11" s="600">
        <f>COUNTIF($Z$13:$Z$72,"○")</f>
        <v>0</v>
      </c>
      <c r="AA11" s="601"/>
      <c r="AB11" s="600">
        <f>COUNTIF($AB$13:$AB$72,"○")</f>
        <v>0</v>
      </c>
      <c r="AC11" s="601"/>
      <c r="AD11" s="600">
        <f>COUNTIF($AD$13:$AD$72,"○")</f>
        <v>0</v>
      </c>
      <c r="AE11" s="601"/>
      <c r="AF11" s="600">
        <f>COUNTIF($AF$13:$AF$72,"○")</f>
        <v>0</v>
      </c>
      <c r="AG11" s="601"/>
      <c r="AH11" s="674">
        <f>COUNTIF($AH$13:$AH$72,"**")/2</f>
        <v>0</v>
      </c>
      <c r="AI11" s="675"/>
      <c r="AJ11" s="605">
        <f>COUNTIF($AJ$13:$AJ$72,"○")</f>
        <v>0</v>
      </c>
      <c r="AK11" s="606"/>
      <c r="AL11" s="592"/>
      <c r="AM11" s="685">
        <f>COUNTIF($AM$13:$AM$72,"**")</f>
        <v>0</v>
      </c>
      <c r="AN11" s="675"/>
      <c r="AO11" s="674">
        <f>COUNTIF($AO$13:$AO$72,"**")/2</f>
        <v>0</v>
      </c>
      <c r="AP11" s="688"/>
      <c r="AQ11" s="638"/>
      <c r="AR11" s="640"/>
      <c r="AS11" s="1"/>
      <c r="AU11" s="665" t="s">
        <v>579</v>
      </c>
      <c r="AV11" s="667"/>
      <c r="AW11" s="217"/>
      <c r="AY11" s="218" t="s">
        <v>571</v>
      </c>
      <c r="AZ11" s="1"/>
      <c r="BA11" s="219"/>
      <c r="BB11" s="220"/>
      <c r="BC11" s="220"/>
      <c r="BD11" s="220"/>
      <c r="BE11" s="220"/>
      <c r="BF11" s="221"/>
      <c r="BG11" s="342"/>
      <c r="BH11" s="706" t="s">
        <v>230</v>
      </c>
      <c r="BI11" s="627" t="s">
        <v>231</v>
      </c>
      <c r="BJ11" s="627" t="s">
        <v>232</v>
      </c>
      <c r="BK11" s="627" t="s">
        <v>304</v>
      </c>
      <c r="BL11" s="627" t="s">
        <v>234</v>
      </c>
      <c r="BM11" s="656" t="s">
        <v>233</v>
      </c>
      <c r="BN11" s="657"/>
      <c r="BO11" s="657"/>
      <c r="BP11" s="657"/>
      <c r="BQ11" s="657"/>
      <c r="BR11" s="658"/>
      <c r="BU11" s="222" t="s">
        <v>305</v>
      </c>
      <c r="BV11" s="223"/>
      <c r="BW11" s="224" t="s">
        <v>306</v>
      </c>
      <c r="BX11" s="223"/>
      <c r="BY11" s="224" t="s">
        <v>307</v>
      </c>
      <c r="BZ11" s="223"/>
      <c r="CA11" s="696" t="s">
        <v>92</v>
      </c>
      <c r="CB11" s="697"/>
      <c r="CC11" s="698" t="s">
        <v>25</v>
      </c>
      <c r="CD11" s="699"/>
      <c r="CF11" s="310"/>
      <c r="CG11" s="224" t="s">
        <v>51</v>
      </c>
      <c r="CH11" s="222"/>
      <c r="CI11" s="222"/>
      <c r="CJ11" s="222"/>
      <c r="CK11" s="222"/>
      <c r="CL11" s="222"/>
      <c r="CM11" s="222"/>
      <c r="CN11" s="677" t="s">
        <v>624</v>
      </c>
      <c r="CO11" s="678"/>
      <c r="CR11" s="218" t="s">
        <v>571</v>
      </c>
      <c r="CT11" s="377" t="s">
        <v>694</v>
      </c>
      <c r="CU11" s="378"/>
      <c r="CV11" s="374"/>
      <c r="CW11" s="377"/>
      <c r="CX11" s="379" t="s">
        <v>51</v>
      </c>
      <c r="CY11" s="377"/>
      <c r="CZ11" s="377"/>
      <c r="DA11" s="377"/>
      <c r="DB11" s="377"/>
      <c r="DC11" s="377"/>
      <c r="DD11" s="377"/>
      <c r="DF11" s="157" t="s">
        <v>0</v>
      </c>
      <c r="DK11" s="672">
        <f>SUM(DO13:DO72)</f>
        <v>0</v>
      </c>
      <c r="DL11" s="672"/>
      <c r="DM11" s="672"/>
      <c r="DN11" s="672"/>
      <c r="DO11" s="672"/>
      <c r="DQ11" s="225">
        <f>SUM(DQ13:DQ72)</f>
        <v>0</v>
      </c>
      <c r="DR11" s="225">
        <f>SUM(DR13:DR72)</f>
        <v>0</v>
      </c>
      <c r="DS11" s="225">
        <f>SUM(DS13:DS72)</f>
        <v>0</v>
      </c>
      <c r="DT11" s="225">
        <f>SUM(DT13:DT72)</f>
        <v>0</v>
      </c>
      <c r="DU11" s="225">
        <f>SUM(DU13:DU72)</f>
        <v>0</v>
      </c>
    </row>
    <row r="12" spans="1:126" s="226" customFormat="1" ht="18.75" customHeight="1" thickTop="1" thickBot="1" x14ac:dyDescent="0.25">
      <c r="B12" s="618"/>
      <c r="C12" s="619"/>
      <c r="D12" s="619"/>
      <c r="E12" s="619"/>
      <c r="F12" s="619"/>
      <c r="G12" s="620"/>
      <c r="H12" s="655"/>
      <c r="I12" s="593"/>
      <c r="J12" s="614"/>
      <c r="K12" s="614"/>
      <c r="L12" s="614"/>
      <c r="M12" s="631"/>
      <c r="N12" s="614"/>
      <c r="O12" s="682"/>
      <c r="P12" s="591"/>
      <c r="Q12" s="591"/>
      <c r="R12" s="614"/>
      <c r="S12" s="614"/>
      <c r="T12" s="614"/>
      <c r="U12" s="614"/>
      <c r="V12" s="661"/>
      <c r="W12" s="662"/>
      <c r="X12" s="686"/>
      <c r="Y12" s="676"/>
      <c r="Z12" s="602"/>
      <c r="AA12" s="603"/>
      <c r="AB12" s="602"/>
      <c r="AC12" s="603"/>
      <c r="AD12" s="602"/>
      <c r="AE12" s="603"/>
      <c r="AF12" s="602"/>
      <c r="AG12" s="603"/>
      <c r="AH12" s="602"/>
      <c r="AI12" s="676"/>
      <c r="AJ12" s="607"/>
      <c r="AK12" s="608"/>
      <c r="AL12" s="593"/>
      <c r="AM12" s="686"/>
      <c r="AN12" s="676"/>
      <c r="AO12" s="602"/>
      <c r="AP12" s="689"/>
      <c r="AQ12" s="639"/>
      <c r="AR12" s="641"/>
      <c r="AS12" s="418">
        <f>SUM(J11:AP12)</f>
        <v>0</v>
      </c>
      <c r="AT12" s="283" t="s">
        <v>584</v>
      </c>
      <c r="AU12" s="272" t="s">
        <v>229</v>
      </c>
      <c r="AV12" s="195" t="s">
        <v>195</v>
      </c>
      <c r="AW12" s="1" t="s">
        <v>538</v>
      </c>
      <c r="AX12" s="227" t="s">
        <v>568</v>
      </c>
      <c r="AY12" s="227" t="s">
        <v>567</v>
      </c>
      <c r="AZ12" s="228" t="s">
        <v>93</v>
      </c>
      <c r="BA12" s="219" t="s">
        <v>163</v>
      </c>
      <c r="BB12" s="220" t="s">
        <v>157</v>
      </c>
      <c r="BC12" s="220" t="s">
        <v>158</v>
      </c>
      <c r="BD12" s="220" t="s">
        <v>159</v>
      </c>
      <c r="BE12" s="220" t="s">
        <v>572</v>
      </c>
      <c r="BF12" s="221" t="s">
        <v>573</v>
      </c>
      <c r="BG12" s="343"/>
      <c r="BH12" s="707"/>
      <c r="BI12" s="628"/>
      <c r="BJ12" s="628"/>
      <c r="BK12" s="628"/>
      <c r="BL12" s="628"/>
      <c r="BM12" s="229" t="s">
        <v>235</v>
      </c>
      <c r="BN12" s="229" t="s">
        <v>236</v>
      </c>
      <c r="BO12" s="230" t="s">
        <v>237</v>
      </c>
      <c r="BP12" s="230" t="s">
        <v>238</v>
      </c>
      <c r="BQ12" s="231" t="s">
        <v>97</v>
      </c>
      <c r="BR12" s="232" t="s">
        <v>239</v>
      </c>
      <c r="BS12"/>
      <c r="BT12" s="233" t="s">
        <v>494</v>
      </c>
      <c r="BU12" s="234" t="s">
        <v>94</v>
      </c>
      <c r="BV12" s="235" t="s">
        <v>95</v>
      </c>
      <c r="BW12" s="234" t="s">
        <v>94</v>
      </c>
      <c r="BX12" s="235" t="s">
        <v>95</v>
      </c>
      <c r="BY12" s="234" t="s">
        <v>94</v>
      </c>
      <c r="BZ12" s="235" t="s">
        <v>95</v>
      </c>
      <c r="CA12" s="234" t="s">
        <v>94</v>
      </c>
      <c r="CB12" s="235" t="s">
        <v>95</v>
      </c>
      <c r="CC12" s="234" t="s">
        <v>94</v>
      </c>
      <c r="CD12" s="235" t="s">
        <v>95</v>
      </c>
      <c r="CE12"/>
      <c r="CF12" s="311"/>
      <c r="CG12" s="299" t="s">
        <v>95</v>
      </c>
      <c r="CH12" s="298" t="s">
        <v>96</v>
      </c>
      <c r="CI12" s="236" t="s">
        <v>77</v>
      </c>
      <c r="CJ12" s="236" t="s">
        <v>393</v>
      </c>
      <c r="CK12" s="237" t="s">
        <v>97</v>
      </c>
      <c r="CL12" s="238" t="s">
        <v>98</v>
      </c>
      <c r="CM12" s="286" t="s">
        <v>557</v>
      </c>
      <c r="CN12" s="228" t="s">
        <v>94</v>
      </c>
      <c r="CO12" s="235" t="s">
        <v>95</v>
      </c>
      <c r="CP12"/>
      <c r="CQ12" s="227" t="s">
        <v>725</v>
      </c>
      <c r="CR12" s="227" t="s">
        <v>567</v>
      </c>
      <c r="CS12" s="233" t="s">
        <v>494</v>
      </c>
      <c r="CT12" s="380" t="s">
        <v>94</v>
      </c>
      <c r="CU12" s="381" t="s">
        <v>95</v>
      </c>
      <c r="CV12" s="374"/>
      <c r="CW12" s="382"/>
      <c r="CX12" s="383" t="s">
        <v>95</v>
      </c>
      <c r="CY12" s="382" t="s">
        <v>96</v>
      </c>
      <c r="CZ12" s="384" t="s">
        <v>77</v>
      </c>
      <c r="DA12" s="384" t="s">
        <v>393</v>
      </c>
      <c r="DB12" s="385" t="s">
        <v>97</v>
      </c>
      <c r="DC12" s="386" t="s">
        <v>98</v>
      </c>
      <c r="DD12" s="387" t="s">
        <v>557</v>
      </c>
      <c r="DF12" s="470" t="s">
        <v>309</v>
      </c>
      <c r="DG12" s="471" t="s">
        <v>647</v>
      </c>
      <c r="DH12" s="471" t="s">
        <v>310</v>
      </c>
      <c r="DI12" s="471" t="s">
        <v>312</v>
      </c>
      <c r="DJ12" s="471" t="s">
        <v>308</v>
      </c>
      <c r="DK12" s="472" t="s">
        <v>313</v>
      </c>
      <c r="DL12" s="472" t="s">
        <v>594</v>
      </c>
      <c r="DM12" s="472" t="s">
        <v>710</v>
      </c>
      <c r="DN12" s="472" t="s">
        <v>711</v>
      </c>
      <c r="DO12" s="473" t="s">
        <v>38</v>
      </c>
      <c r="DP12" s="239"/>
      <c r="DQ12" s="239" t="s">
        <v>309</v>
      </c>
      <c r="DR12" s="239" t="s">
        <v>647</v>
      </c>
      <c r="DS12" s="239" t="s">
        <v>396</v>
      </c>
      <c r="DT12" t="s">
        <v>389</v>
      </c>
      <c r="DU12" s="239" t="s">
        <v>713</v>
      </c>
      <c r="DV12" s="239" t="s">
        <v>397</v>
      </c>
    </row>
    <row r="13" spans="1:126" ht="18.75" customHeight="1" thickTop="1" x14ac:dyDescent="0.2">
      <c r="A13">
        <v>1</v>
      </c>
      <c r="B13" s="240" t="str">
        <f>IF(D13="","",IF(D13="重複","",1))</f>
        <v/>
      </c>
      <c r="C13" s="263"/>
      <c r="D13" s="134"/>
      <c r="E13" s="134"/>
      <c r="F13" s="135"/>
      <c r="G13" s="136"/>
      <c r="H13" s="169">
        <f>$DO13</f>
        <v>0</v>
      </c>
      <c r="I13" s="170" t="str">
        <f>IF(AU13="","",DATEDIF(AU13,"2027/4/1","Y"))</f>
        <v/>
      </c>
      <c r="J13" s="138"/>
      <c r="K13" s="138"/>
      <c r="L13" s="138"/>
      <c r="M13" s="139"/>
      <c r="N13" s="140"/>
      <c r="O13" s="141"/>
      <c r="P13" s="336"/>
      <c r="Q13" s="142"/>
      <c r="R13" s="143"/>
      <c r="S13" s="143"/>
      <c r="T13" s="144"/>
      <c r="U13" s="143"/>
      <c r="V13" s="265"/>
      <c r="W13" s="145"/>
      <c r="X13" s="268"/>
      <c r="Y13" s="148" t="str">
        <f>IF($X13="○",VLOOKUP($AY13,参照データ!$D$89:$E$100,2),"")</f>
        <v/>
      </c>
      <c r="Z13" s="270"/>
      <c r="AA13" s="148" t="str">
        <f>IF($Z13="○",VLOOKUP($AY13,参照データ!$D$89:$J$100,6),"")</f>
        <v/>
      </c>
      <c r="AB13" s="270"/>
      <c r="AC13" s="148" t="str">
        <f>IF($AB13="○",VLOOKUP($AY13,参照データ!$D$89:$N$100,10),"")</f>
        <v/>
      </c>
      <c r="AD13" s="270"/>
      <c r="AE13" s="148" t="str">
        <f>IF($AD13="○",VLOOKUP($AY13,参照データ!$D$89:$Q$100,14),"")</f>
        <v/>
      </c>
      <c r="AF13" s="270"/>
      <c r="AG13" s="148" t="str">
        <f>IF($AF13="○",VLOOKUP($AY13,参照データ!$D$89:$Q$100,14),"")</f>
        <v/>
      </c>
      <c r="AH13" s="265"/>
      <c r="AI13" s="370" t="str">
        <f>IF($AH13="","",$CF13)</f>
        <v/>
      </c>
      <c r="AJ13" s="496"/>
      <c r="AK13" s="497" t="str">
        <f>IF($AJ13="○",VLOOKUP($AY13,参照データ!$D$89:$U$100,18),"")</f>
        <v/>
      </c>
      <c r="AL13" s="170" t="str">
        <f>IF($AU13="","",DATEDIF($AU13,"2027/12/31","Y"))</f>
        <v/>
      </c>
      <c r="AM13" s="268"/>
      <c r="AN13" s="412" t="str">
        <f>IF($AM13="○",VLOOKUP($CR13,参照データ!$D$143:$E$150,2),"")</f>
        <v/>
      </c>
      <c r="AO13" s="415"/>
      <c r="AP13" s="366" t="str">
        <f>IF($AO13="","",$CW13)</f>
        <v/>
      </c>
      <c r="AQ13" s="465"/>
      <c r="AR13" s="466"/>
      <c r="AT13" s="284" t="s">
        <v>516</v>
      </c>
      <c r="AU13" s="273" t="str">
        <f>IF(D13="","",G13)</f>
        <v/>
      </c>
      <c r="AV13" s="274" t="str">
        <f>IF(D13="","",F13)</f>
        <v/>
      </c>
      <c r="AW13" s="226" t="e">
        <f>VALUE(AU13)</f>
        <v>#VALUE!</v>
      </c>
      <c r="AX13" t="e">
        <f>IF(AND(AW13&gt;=参照データ!$C$71,AW13&lt;=参照データ!$C$69),1,IF(AND(AW13&gt;=参照データ!$C$74,AW13&lt;=参照データ!$C$72),2,IF(AND(AW13&gt;=参照データ!$C$77,AW13&lt;=参照データ!$C$75),3,IF(AND(AW13&gt;=参照データ!$C$80,AW13&lt;=参照データ!$C$78),4,IF(AND(AW13&gt;=参照データ!$C$83,AW13&lt;=参照データ!$C$81),5,IF(AW13&lt;=参照データ!$C$84,6,0))))))</f>
        <v>#VALUE!</v>
      </c>
      <c r="AY13" t="e">
        <f>IF(AV13="男子",VLOOKUP(AX13,参照データ!$C$95:$D$100,2),AX13)</f>
        <v>#VALUE!</v>
      </c>
      <c r="AZ13" s="241" t="str">
        <f t="shared" ref="AZ13:AZ44" si="2">IF(I13="","",IF(AND(I13&gt;=7,I13&lt;23),I13,IF(I13&lt;7,6,23)))</f>
        <v/>
      </c>
      <c r="BA13" s="219" t="str">
        <f>IF($J13="○",VLOOKUP($AZ13,参照データ!$B$24:$G$41,3,0),"")</f>
        <v/>
      </c>
      <c r="BB13" s="220" t="str">
        <f>IF($K13="○",VLOOKUP($AZ13,参照データ!$B$24:$G$41,4,0),"")</f>
        <v/>
      </c>
      <c r="BC13" s="220" t="str">
        <f>IF($L13="○",VLOOKUP($AZ13,参照データ!$B$24:$G$41,5,0),"")</f>
        <v/>
      </c>
      <c r="BD13" s="220" t="str">
        <f>IF($M13="○",VLOOKUP($AZ13,参照データ!$B$24:$G$41,6,0),"")</f>
        <v/>
      </c>
      <c r="BE13" s="220" t="str">
        <f>IF($N13="○",VLOOKUP($AZ13,参照データ!$B$24:$H$41,7,0),"")</f>
        <v/>
      </c>
      <c r="BF13" s="221" t="str">
        <f>IF($O13="○",VLOOKUP($AZ13,参照データ!$B$24:$I$41,8,0),"")</f>
        <v/>
      </c>
      <c r="BG13" s="344" t="str">
        <f>IF($P13="","",$P13)</f>
        <v/>
      </c>
      <c r="BH13" s="242" t="str">
        <f>IF($Q13="入門",VLOOKUP($AZ13,参照データ!$B$46:$U$63,3,0),IF($Q13="初級",VLOOKUP($AZ13,参照データ!$B$46:$U$63,4,0),IF($Q13="中級",VLOOKUP($AZ13,参照データ!$B$46:$U$63,5,0),IF($Q13="上級",VLOOKUP($AZ13,参照データ!$B$46:$U$63,6,0),""))))</f>
        <v/>
      </c>
      <c r="BI13" s="242" t="str">
        <f>IF($R13="初級",VLOOKUP($AZ13,参照データ!$B$46:$U$63,7,0),IF($R13="中級",VLOOKUP($AZ13,参照データ!$B$46:$U$63,8,0),IF($R13="上級",VLOOKUP($AZ13,参照データ!$B$46:$U$63,9,0),"")))</f>
        <v/>
      </c>
      <c r="BJ13" s="242" t="str">
        <f>IF($S13="初級",VLOOKUP($AZ13,参照データ!$B$46:$U$63,10,0),IF($S13="上級",VLOOKUP($AZ13,参照データ!$B$46:$U$63,11,0),""))</f>
        <v/>
      </c>
      <c r="BK13" s="242" t="str">
        <f>IF($T13="初級",VLOOKUP($AZ13,参照データ!$B$46:$U$63,15,0),IF($T13="中級",VLOOKUP($AZ13,参照データ!$B$46:$U$63,16,0),IF($T13="上級",VLOOKUP($AZ13,参照データ!$B$46:$U$63,17,0),"")))</f>
        <v/>
      </c>
      <c r="BL13" s="242" t="str">
        <f>IF($U13="初級",VLOOKUP($AZ13,参照データ!$B$46:$U$63,12,0),IF($U13="中級",VLOOKUP($AZ13,参照データ!$B$46:$U$63,13,0),IF($U13="上級",VLOOKUP($AZ13,参照データ!$B$46:$U$63,14,0),"")))</f>
        <v/>
      </c>
      <c r="BM13" s="21" t="str">
        <f>IF($W13="","",$W13)</f>
        <v/>
      </c>
      <c r="BN13" s="21" t="str">
        <f>IF($V13="初級",VLOOKUP($AZ13,参照データ!$B$46:$U$63,18,0),IF($V13="中級",VLOOKUP($AZ13,参照データ!$B$46:$U$63,19,0),IF($V13="上級",VLOOKUP($AZ13,参照データ!$B$46:$U$63,20,0),"")))</f>
        <v/>
      </c>
      <c r="BO13" s="586">
        <v>1</v>
      </c>
      <c r="BP13" s="243" t="s">
        <v>240</v>
      </c>
      <c r="BQ13" s="244" t="str">
        <f>IF(COUNTIF($BM$13:$BN$72,$BP13)&gt;=1,VLOOKUP($BP13,$BM$13:$BN$72,2,0),"")</f>
        <v/>
      </c>
      <c r="BR13" s="594" t="str">
        <f>IF(OR($BQ13="",$BQ14=""),"",IF($BQ13&gt;$BQ14,$BQ13,$BQ14))</f>
        <v/>
      </c>
      <c r="BT13" s="241" t="e">
        <f t="shared" ref="BT13:BT47" si="3">$AY13</f>
        <v>#VALUE!</v>
      </c>
      <c r="BU13" s="245" t="str">
        <f>IF($X13="○",VLOOKUP($BT13,参照データ!$D$89:$F$100,3,0),"")</f>
        <v/>
      </c>
      <c r="BV13" s="246" t="str">
        <f t="shared" ref="BV13:BV44" si="4">IF($BU13="","",IF($F13="","S","MS"))</f>
        <v/>
      </c>
      <c r="BW13" s="245" t="str">
        <f>IF($Z13="○",VLOOKUP($BT13,参照データ!$D$89:$J$100,7,0),"")</f>
        <v/>
      </c>
      <c r="BX13" s="246" t="str">
        <f t="shared" ref="BX13:BX44" si="5">IF($BW13="","",IF($F13="","2B","M2B"))</f>
        <v/>
      </c>
      <c r="BY13" s="245" t="str">
        <f>IF($AB13="○",VLOOKUP($BT13,参照データ!$D$89:$N$100,11,0),"")</f>
        <v/>
      </c>
      <c r="BZ13" s="246" t="str">
        <f t="shared" ref="BZ13:BZ44" si="6">IF($BY13="","",IF($F13="","3B","M3B"))</f>
        <v/>
      </c>
      <c r="CA13" s="245" t="str">
        <f>IF($AD13="○",VLOOKUP($BT13,参照データ!$D$89:$T$100,17,0),"")</f>
        <v/>
      </c>
      <c r="CB13" s="246" t="str">
        <f>IF($CA13="","","D")</f>
        <v/>
      </c>
      <c r="CC13" s="245" t="str">
        <f>IF($AF13="○",VLOOKUP($BT13,参照データ!$D$89:$T$100,16,0),"")</f>
        <v/>
      </c>
      <c r="CD13" s="246" t="str">
        <f>IF($CC13="","","SS")</f>
        <v/>
      </c>
      <c r="CE13" s="25">
        <f>$AH13</f>
        <v>0</v>
      </c>
      <c r="CF13" s="312" t="e">
        <f t="shared" ref="CF13:CF44" si="7">VLOOKUP($CE13,$CI:$CM,5,0)</f>
        <v>#N/A</v>
      </c>
      <c r="CG13" s="300" t="str">
        <f>IF($AH13="","","P")</f>
        <v/>
      </c>
      <c r="CH13" s="644">
        <v>1</v>
      </c>
      <c r="CI13" s="247" t="s">
        <v>89</v>
      </c>
      <c r="CJ13" s="248" t="e">
        <f t="shared" ref="CJ13:CJ44" si="8">VLOOKUP($CI13,$AH$13:$AX$72,17,0)</f>
        <v>#N/A</v>
      </c>
      <c r="CK13" s="248" t="e">
        <f>VLOOKUP(CJ13,参照データ!$D$89:$R$100,15,0)</f>
        <v>#N/A</v>
      </c>
      <c r="CL13" s="646" t="e">
        <f>IF(OR($CJ13="",$CJ14=""),"",IF($CJ13&gt;$CJ14,$CK13,$CK14))</f>
        <v>#N/A</v>
      </c>
      <c r="CM13" s="287" t="e">
        <f>INDEX(参照データ!$Q$89:$Q$100,MATCH($CL13,参照データ!$R$89:$R$100,0))</f>
        <v>#N/A</v>
      </c>
      <c r="CN13" s="290" t="str">
        <f>IF($AJ13="○",VLOOKUP($BT13,参照データ!$D$89:$V$100,19,0),"")</f>
        <v/>
      </c>
      <c r="CO13" s="246" t="str">
        <f>IF($CN13="","","sp")</f>
        <v/>
      </c>
      <c r="CQ13" t="e">
        <f>IF(AND($AW13&gt;=参照データ!$C$132,$AW13&lt;=参照データ!$C$130),1,IF(AND($AW13&gt;=参照データ!$C$135,$AW13&lt;=参照データ!$C$133),2,IF(AND($AW13&gt;=参照データ!$C$138,$AW13&lt;=参照データ!$C$136),3,IF($AW13&lt;=参照データ!$C$139,4,0))))</f>
        <v>#VALUE!</v>
      </c>
      <c r="CR13" t="e">
        <f>IF($AV13="男子",VLOOKUP(CQ13,参照データ!$C$143:$D$150,2),CQ13)</f>
        <v>#VALUE!</v>
      </c>
      <c r="CS13" s="388" t="e">
        <f>$CR13</f>
        <v>#VALUE!</v>
      </c>
      <c r="CT13" s="389" t="str">
        <f>IF($AM13="○",VLOOKUP($CS13,参照データ!$D$143:$F$150,3,0),"")</f>
        <v/>
      </c>
      <c r="CU13" s="390" t="str">
        <f>IF($CT13="","",IF($F13="","at","Mat"))</f>
        <v/>
      </c>
      <c r="CV13" s="25">
        <f>$AO13</f>
        <v>0</v>
      </c>
      <c r="CW13" s="312" t="e">
        <f t="shared" ref="CW13:CW44" si="9">VLOOKUP($CV13,$CZ:$DD,5,0)</f>
        <v>#N/A</v>
      </c>
      <c r="CX13" s="391" t="str">
        <f>IF($AO13="","","ap")</f>
        <v/>
      </c>
      <c r="CY13" s="720">
        <v>1</v>
      </c>
      <c r="CZ13" s="392" t="s">
        <v>89</v>
      </c>
      <c r="DA13" s="393" t="e">
        <f>VLOOKUP($CZ13,$AO$13:$CQ$72,55,0)</f>
        <v>#N/A</v>
      </c>
      <c r="DB13" s="393" t="e">
        <f>VLOOKUP(DA13,参照データ!$D$143:$J$150,7,0)</f>
        <v>#N/A</v>
      </c>
      <c r="DC13" s="722" t="e">
        <f>IF(OR($DA13="",$DA14=""),"",IF($DA13&gt;$DA14,$DB13,$DB14))</f>
        <v>#N/A</v>
      </c>
      <c r="DD13" s="394" t="e">
        <f>INDEX(参照データ!$I$143:$I$150,MATCH($DC13,参照データ!$J$143:$J$150,0))</f>
        <v>#N/A</v>
      </c>
      <c r="DF13" s="254">
        <f>(COUNTIF($J13:$O13,"&lt;&gt;"))*参照データ!$D$3</f>
        <v>0</v>
      </c>
      <c r="DG13" s="297">
        <f>IF($P13="",0,2000)</f>
        <v>0</v>
      </c>
      <c r="DH13" s="157" cm="1">
        <f t="array" ref="DH13">(SUM(COUNTIF($Q13:$U13,{"入門","初級"}))*3000)+(SUM(COUNTIF($Q13:$U13,{"中級","上級"})*3500))</f>
        <v>0</v>
      </c>
      <c r="DI13" s="157">
        <f>IFERROR(VLOOKUP(V13,参照データ!$G$3:$I$6,3,0),0)</f>
        <v>0</v>
      </c>
      <c r="DJ13" s="469">
        <f>(COUNTIF($X13:$AF13,"○"))*4500</f>
        <v>0</v>
      </c>
      <c r="DK13" s="157">
        <f>(IF($AH13&gt;0,3000,0))</f>
        <v>0</v>
      </c>
      <c r="DL13" s="297">
        <f>IF($AJ13="○",3000,0)</f>
        <v>0</v>
      </c>
      <c r="DM13" s="469">
        <f>(COUNTIF($AM13,"○"))*参照データ!$H$13</f>
        <v>0</v>
      </c>
      <c r="DN13" s="157">
        <f>(IF($AO13&gt;0,参照データ!$I$14,0))</f>
        <v>0</v>
      </c>
      <c r="DO13" s="249">
        <f t="array" ref="DO13">SUM(IF(ISERROR($DF13:$DN13),0,($DF13:$DN13)))</f>
        <v>0</v>
      </c>
      <c r="DP13" s="157"/>
      <c r="DQ13" s="157">
        <f>COUNTIF($J13:$O13,"**")</f>
        <v>0</v>
      </c>
      <c r="DR13" s="157">
        <f>COUNTIF($P13,"**")</f>
        <v>0</v>
      </c>
      <c r="DS13" s="157">
        <f>COUNTIF($Q13:$V13,"**")</f>
        <v>0</v>
      </c>
      <c r="DT13" s="157">
        <f>COUNTIF($X13:$AJ13,"○")+COUNTIF($AH13,"*")</f>
        <v>0</v>
      </c>
      <c r="DU13" s="157">
        <f>COUNTIF($AM13,"○")+COUNTIF($AO13,"*")</f>
        <v>0</v>
      </c>
      <c r="DV13" t="str">
        <f t="shared" ref="DV13:DV44" si="10">IF(DT13&gt;=2,BV13&amp;BX13&amp;BZ13&amp;CB13&amp;CD13&amp;CG13&amp;CO13,"")</f>
        <v/>
      </c>
    </row>
    <row r="14" spans="1:126" ht="18.75" customHeight="1" x14ac:dyDescent="0.2">
      <c r="A14">
        <v>2</v>
      </c>
      <c r="B14" s="183" t="str">
        <f>IF(D14="","",IF(D14="重複","",COUNTIF(B$13:$B13,"&gt;0")+1))</f>
        <v/>
      </c>
      <c r="C14" s="264"/>
      <c r="D14" s="134"/>
      <c r="E14" s="134"/>
      <c r="F14" s="135"/>
      <c r="G14" s="136"/>
      <c r="H14" s="169">
        <f t="shared" ref="H14:H72" si="11">$DO14</f>
        <v>0</v>
      </c>
      <c r="I14" s="170" t="str">
        <f t="shared" ref="I14:I72" si="12">IF(AU14="","",DATEDIF(AU14,"2027/4/1","Y"))</f>
        <v/>
      </c>
      <c r="J14" s="138"/>
      <c r="K14" s="138"/>
      <c r="L14" s="138"/>
      <c r="M14" s="139"/>
      <c r="N14" s="146"/>
      <c r="O14" s="141"/>
      <c r="P14" s="336"/>
      <c r="Q14" s="142"/>
      <c r="R14" s="143"/>
      <c r="S14" s="143"/>
      <c r="T14" s="144"/>
      <c r="U14" s="143"/>
      <c r="V14" s="266"/>
      <c r="W14" s="145"/>
      <c r="X14" s="269"/>
      <c r="Y14" s="148" t="str">
        <f>IF($X14="○",VLOOKUP($AY14,参照データ!$D$89:$E$100,2),"")</f>
        <v/>
      </c>
      <c r="Z14" s="271"/>
      <c r="AA14" s="148" t="str">
        <f>IF($Z14="○",VLOOKUP($AY14,参照データ!$D$89:$J$100,6),"")</f>
        <v/>
      </c>
      <c r="AB14" s="271"/>
      <c r="AC14" s="148" t="str">
        <f>IF($AB14="○",VLOOKUP($AY14,参照データ!$D$89:$N$100,10),"")</f>
        <v/>
      </c>
      <c r="AD14" s="271"/>
      <c r="AE14" s="148" t="str">
        <f>IF($AD14="○",VLOOKUP($AY14,参照データ!$D$89:$Q$100,14),"")</f>
        <v/>
      </c>
      <c r="AF14" s="271"/>
      <c r="AG14" s="148" t="str">
        <f>IF($AF14="○",VLOOKUP($AY14,参照データ!$D$89:$Q$100,14),"")</f>
        <v/>
      </c>
      <c r="AH14" s="266"/>
      <c r="AI14" s="370" t="str">
        <f>IF($AH14="","",$CF14)</f>
        <v/>
      </c>
      <c r="AJ14" s="498"/>
      <c r="AK14" s="497" t="str">
        <f>IF($AJ14="○",VLOOKUP($AY14,参照データ!$D$89:$U$100,18),"")</f>
        <v/>
      </c>
      <c r="AL14" s="170" t="str">
        <f t="shared" ref="AL14:AL72" si="13">IF($AU14="","",DATEDIF($AU14,"2027/12/31","Y"))</f>
        <v/>
      </c>
      <c r="AM14" s="269"/>
      <c r="AN14" s="413" t="str">
        <f>IF($AM14="○",VLOOKUP($CR14,参照データ!$D$143:$E$150,2),"")</f>
        <v/>
      </c>
      <c r="AO14" s="416"/>
      <c r="AP14" s="366" t="str">
        <f t="shared" ref="AP14:AP72" si="14">IF($AO14="","",$CW14)</f>
        <v/>
      </c>
      <c r="AQ14" s="465"/>
      <c r="AR14" s="466"/>
      <c r="AT14" s="285"/>
      <c r="AU14" s="273" t="str">
        <f t="shared" ref="AU14:AU45" si="15">IF(D14="","",IF(D14="重複",G13,G14))</f>
        <v/>
      </c>
      <c r="AV14" s="274" t="str">
        <f t="shared" ref="AV14:AV45" si="16">IF(D14="","",IF(D14="重複",F13,F14))</f>
        <v/>
      </c>
      <c r="AW14" s="226" t="e">
        <f t="shared" ref="AW14:AW72" si="17">VALUE(AU14)</f>
        <v>#VALUE!</v>
      </c>
      <c r="AX14" t="e">
        <f>IF(AND(AW14&gt;=参照データ!$C$71,AW14&lt;=参照データ!$C$69),1,IF(AND(AW14&gt;=参照データ!$C$74,AW14&lt;=参照データ!$C$72),2,IF(AND(AW14&gt;=参照データ!$C$77,AW14&lt;=参照データ!$C$75),3,IF(AND(AW14&gt;=参照データ!$C$80,AW14&lt;=参照データ!$C$78),4,IF(AND(AW14&gt;=参照データ!$C$83,AW14&lt;=参照データ!$C$81),5,IF(AW14&lt;=参照データ!$C$84,6,0))))))</f>
        <v>#VALUE!</v>
      </c>
      <c r="AY14" t="e">
        <f>IF(AV14="男子",VLOOKUP(AX14,参照データ!$C$95:$D$100,2),AX14)</f>
        <v>#VALUE!</v>
      </c>
      <c r="AZ14" s="241" t="str">
        <f t="shared" si="2"/>
        <v/>
      </c>
      <c r="BA14" s="219" t="str">
        <f>IF($J14="○",VLOOKUP($AZ14,参照データ!$B$24:$G$41,3,0),"")</f>
        <v/>
      </c>
      <c r="BB14" s="220" t="str">
        <f>IF($K14="○",VLOOKUP($AZ14,参照データ!$B$24:$G$41,4,0),"")</f>
        <v/>
      </c>
      <c r="BC14" s="220" t="str">
        <f>IF($L14="○",VLOOKUP($AZ14,参照データ!$B$24:$G$41,5,0),"")</f>
        <v/>
      </c>
      <c r="BD14" s="220" t="str">
        <f>IF($M14="○",VLOOKUP($AZ14,参照データ!$B$24:$G$41,6,0),"")</f>
        <v/>
      </c>
      <c r="BE14" s="220" t="str">
        <f>IF($N14="○",VLOOKUP($AZ14,参照データ!$B$24:$H$41,7,0),"")</f>
        <v/>
      </c>
      <c r="BF14" s="221" t="str">
        <f>IF($O14="○",VLOOKUP($AZ14,参照データ!$B$24:$I$41,8,0),"")</f>
        <v/>
      </c>
      <c r="BG14" s="344" t="str">
        <f t="shared" ref="BG14:BG72" si="18">IF($P14="","",$P14)</f>
        <v/>
      </c>
      <c r="BH14" s="242" t="str">
        <f>IF($Q14="入門",VLOOKUP($AZ14,参照データ!$B$46:$U$63,3,0),IF($Q14="初級",VLOOKUP($AZ14,参照データ!$B$46:$U$63,4,0),IF($Q14="中級",VLOOKUP($AZ14,参照データ!$B$46:$U$63,5,0),IF($Q14="上級",VLOOKUP($AZ14,参照データ!$B$46:$U$63,6,0),""))))</f>
        <v/>
      </c>
      <c r="BI14" s="242" t="str">
        <f>IF($R14="初級",VLOOKUP($AZ14,参照データ!$B$46:$U$63,7,0),IF($R14="中級",VLOOKUP($AZ14,参照データ!$B$46:$U$63,8,0),IF($R14="上級",VLOOKUP($AZ14,参照データ!$B$46:$U$63,9,0),"")))</f>
        <v/>
      </c>
      <c r="BJ14" s="242" t="str">
        <f>IF($S14="初級",VLOOKUP($AZ14,参照データ!$B$46:$U$63,10,0),IF($S14="上級",VLOOKUP($AZ14,参照データ!$B$46:$U$63,11,0),""))</f>
        <v/>
      </c>
      <c r="BK14" s="242" t="str">
        <f>IF($T14="初級",VLOOKUP($AZ14,参照データ!$B$46:$U$63,15,0),IF($T14="中級",VLOOKUP($AZ14,参照データ!$B$46:$U$63,16,0),IF($T14="上級",VLOOKUP($AZ14,参照データ!$B$46:$U$63,17,0),"")))</f>
        <v/>
      </c>
      <c r="BL14" s="242" t="str">
        <f>IF($U14="初級",VLOOKUP($AZ14,参照データ!$B$46:$U$63,12,0),IF($U14="中級",VLOOKUP($AZ14,参照データ!$B$46:$U$63,13,0),IF($U14="上級",VLOOKUP($AZ14,参照データ!$B$46:$U$63,14,0),"")))</f>
        <v/>
      </c>
      <c r="BM14" s="21" t="str">
        <f t="shared" ref="BM14:BM72" si="19">IF($W14="","",$W14)</f>
        <v/>
      </c>
      <c r="BN14" s="21" t="str">
        <f>IF($V14="初級",VLOOKUP($AZ14,参照データ!$B$46:$U$63,18,0),IF($V14="中級",VLOOKUP($AZ14,参照データ!$B$46:$U$63,19,0),IF($V14="上級",VLOOKUP($AZ14,参照データ!$B$46:$U$63,20,0),"")))</f>
        <v/>
      </c>
      <c r="BO14" s="587"/>
      <c r="BP14" s="250" t="s">
        <v>241</v>
      </c>
      <c r="BQ14" s="251" t="str">
        <f t="shared" ref="BQ14:BQ44" si="20">IF(COUNTIF($BM$13:$BN$72,$BP14)&gt;=1,VLOOKUP($BP14,$BM$13:$BN$72,2,0),"")</f>
        <v/>
      </c>
      <c r="BR14" s="595"/>
      <c r="BT14" s="241" t="e">
        <f t="shared" si="3"/>
        <v>#VALUE!</v>
      </c>
      <c r="BU14" s="245" t="str">
        <f>IF($X14="○",VLOOKUP($BT14,参照データ!$D$89:$F$100,3,0),"")</f>
        <v/>
      </c>
      <c r="BV14" s="246" t="str">
        <f t="shared" si="4"/>
        <v/>
      </c>
      <c r="BW14" s="245" t="str">
        <f>IF($Z14="○",VLOOKUP($BT14,参照データ!$D$89:$J$100,7,0),"")</f>
        <v/>
      </c>
      <c r="BX14" s="246" t="str">
        <f t="shared" si="5"/>
        <v/>
      </c>
      <c r="BY14" s="245" t="str">
        <f>IF($AB14="○",VLOOKUP($BT14,参照データ!$D$89:$N$100,11,0),"")</f>
        <v/>
      </c>
      <c r="BZ14" s="246" t="str">
        <f t="shared" si="6"/>
        <v/>
      </c>
      <c r="CA14" s="245" t="str">
        <f>IF($AD14="○",VLOOKUP($BT14,参照データ!$D$89:$T$100,17,0),"")</f>
        <v/>
      </c>
      <c r="CB14" s="246" t="str">
        <f t="shared" ref="CB14:CB72" si="21">IF($CA14="","","D")</f>
        <v/>
      </c>
      <c r="CC14" s="245" t="str">
        <f>IF($AF14="○",VLOOKUP($BT14,参照データ!$D$89:$T$100,16,0),"")</f>
        <v/>
      </c>
      <c r="CD14" s="246" t="str">
        <f t="shared" ref="CD14:CD72" si="22">IF($CC14="","","SS")</f>
        <v/>
      </c>
      <c r="CE14" s="25">
        <f t="shared" ref="CE14:CE72" si="23">$AH14</f>
        <v>0</v>
      </c>
      <c r="CF14" s="312" t="e">
        <f t="shared" si="7"/>
        <v>#N/A</v>
      </c>
      <c r="CG14" s="300" t="str">
        <f t="shared" ref="CG14:CG72" si="24">IF($AH14="","","P")</f>
        <v/>
      </c>
      <c r="CH14" s="645"/>
      <c r="CI14" s="252" t="s">
        <v>91</v>
      </c>
      <c r="CJ14" s="253" t="e">
        <f t="shared" si="8"/>
        <v>#N/A</v>
      </c>
      <c r="CK14" s="253" t="e">
        <f>VLOOKUP(CJ14,参照データ!$D$89:$R$100,15,0)</f>
        <v>#N/A</v>
      </c>
      <c r="CL14" s="647"/>
      <c r="CM14" s="288" t="e">
        <f>CM13</f>
        <v>#N/A</v>
      </c>
      <c r="CN14" s="290" t="str">
        <f>IF($AJ14="○",VLOOKUP($BT14,参照データ!$D$89:$V$100,19,0),"")</f>
        <v/>
      </c>
      <c r="CO14" s="246" t="str">
        <f t="shared" ref="CO14:CO72" si="25">IF($CN14="","","sp")</f>
        <v/>
      </c>
      <c r="CQ14" t="e">
        <f>IF(AND($AW14&gt;=参照データ!$C$132,$AW14&lt;=参照データ!$C$130),1,IF(AND($AW14&gt;=参照データ!$C$135,$AW14&lt;=参照データ!$C$133),2,IF(AND($AW14&gt;=参照データ!$C$138,$AW14&lt;=参照データ!$C$136),3,IF($AW14&lt;=参照データ!$C$139,4,0))))</f>
        <v>#VALUE!</v>
      </c>
      <c r="CR14" t="e">
        <f>IF($AV14="男子",VLOOKUP(CQ14,参照データ!$C$143:$D$150,2),CQ14)</f>
        <v>#VALUE!</v>
      </c>
      <c r="CS14" s="388" t="e">
        <f t="shared" ref="CS14:CS72" si="26">$CR14</f>
        <v>#VALUE!</v>
      </c>
      <c r="CT14" s="389" t="str">
        <f>IF($AM14="○",VLOOKUP($CS14,参照データ!$D$143:$F$150,3,0),"")</f>
        <v/>
      </c>
      <c r="CU14" s="390" t="str">
        <f t="shared" ref="CU14:CU25" si="27">IF($CT14="","",IF($F14="","at","Mat"))</f>
        <v/>
      </c>
      <c r="CV14" s="25">
        <f>$AO14</f>
        <v>0</v>
      </c>
      <c r="CW14" s="312" t="e">
        <f t="shared" si="9"/>
        <v>#N/A</v>
      </c>
      <c r="CX14" s="391" t="str">
        <f t="shared" ref="CX14:CX72" si="28">IF($AO14="","","ap")</f>
        <v/>
      </c>
      <c r="CY14" s="721"/>
      <c r="CZ14" s="395" t="s">
        <v>91</v>
      </c>
      <c r="DA14" s="396" t="e">
        <f>VLOOKUP($CZ14,$AO$13:$CQ$72,55,0)</f>
        <v>#N/A</v>
      </c>
      <c r="DB14" s="396" t="e">
        <f>VLOOKUP(DA14,参照データ!$D$143:$J$150,7,0)</f>
        <v>#N/A</v>
      </c>
      <c r="DC14" s="723"/>
      <c r="DD14" s="397" t="e">
        <f>DD13</f>
        <v>#N/A</v>
      </c>
      <c r="DF14" s="254">
        <f>(COUNTIF($J14:$O14,"&lt;&gt;"))*参照データ!$D$3</f>
        <v>0</v>
      </c>
      <c r="DG14" s="297">
        <f t="shared" ref="DG14:DG72" si="29">IF($P14="",0,2000)</f>
        <v>0</v>
      </c>
      <c r="DH14" s="157" cm="1">
        <f t="array" ref="DH14">(SUM(COUNTIF($Q14:$U14,{"入門","初級"}))*3000)+(SUM(COUNTIF($Q14:$U14,{"中級","上級"})*3500))</f>
        <v>0</v>
      </c>
      <c r="DI14" s="157">
        <f>IFERROR(VLOOKUP(V14,参照データ!$G$3:$I$6,3,0),0)</f>
        <v>0</v>
      </c>
      <c r="DJ14" s="469">
        <f t="shared" ref="DJ14:DJ72" si="30">(COUNTIF($X14:$AF14,"○"))*4500</f>
        <v>0</v>
      </c>
      <c r="DK14" s="157">
        <f t="shared" ref="DK14:DK72" si="31">(IF($AH14&gt;0,3000,0))</f>
        <v>0</v>
      </c>
      <c r="DL14" s="157">
        <f t="shared" ref="DL14:DL72" si="32">IF($AJ14="○",3000,0)</f>
        <v>0</v>
      </c>
      <c r="DM14" s="157">
        <f>(COUNTIF($AM14,"○"))*参照データ!$H$13</f>
        <v>0</v>
      </c>
      <c r="DN14" s="157">
        <f>(IF($AO14&gt;0,参照データ!$I$14,0))</f>
        <v>0</v>
      </c>
      <c r="DO14" s="249">
        <f t="array" ref="DO14">SUM(IF(ISERROR($DF14:$DN14),0,($DF14:$DN14)))</f>
        <v>0</v>
      </c>
      <c r="DP14" s="157"/>
      <c r="DQ14" s="157">
        <f t="shared" ref="DQ14:DQ72" si="33">COUNTIF($J14:$O14,"**")</f>
        <v>0</v>
      </c>
      <c r="DR14" s="157">
        <f t="shared" ref="DR14:DR72" si="34">COUNTIF($P14,"**")</f>
        <v>0</v>
      </c>
      <c r="DS14" s="157">
        <f t="shared" ref="DS14:DS72" si="35">COUNTIF($Q14:$V14,"**")</f>
        <v>0</v>
      </c>
      <c r="DT14" s="157">
        <f t="shared" ref="DT14:DT72" si="36">COUNTIF($X14:$AJ14,"○")+COUNTIF($AH14,"*")</f>
        <v>0</v>
      </c>
      <c r="DU14" s="157">
        <f t="shared" ref="DU14:DU72" si="37">COUNTIF($AM14,"○")+COUNTIF($AO14,"*")</f>
        <v>0</v>
      </c>
      <c r="DV14" t="str">
        <f t="shared" si="10"/>
        <v/>
      </c>
    </row>
    <row r="15" spans="1:126" ht="18.75" customHeight="1" x14ac:dyDescent="0.2">
      <c r="A15">
        <v>3</v>
      </c>
      <c r="B15" s="183" t="str">
        <f>IF(D15="","",IF(D15="重複","",COUNTIF(B$13:$B14,"&gt;0")+1))</f>
        <v/>
      </c>
      <c r="C15" s="264"/>
      <c r="D15" s="134"/>
      <c r="E15" s="134"/>
      <c r="F15" s="135"/>
      <c r="G15" s="136"/>
      <c r="H15" s="169">
        <f t="shared" si="11"/>
        <v>0</v>
      </c>
      <c r="I15" s="170" t="str">
        <f t="shared" si="12"/>
        <v/>
      </c>
      <c r="J15" s="138"/>
      <c r="K15" s="138"/>
      <c r="L15" s="138"/>
      <c r="M15" s="139"/>
      <c r="N15" s="146"/>
      <c r="O15" s="141"/>
      <c r="P15" s="336"/>
      <c r="Q15" s="142"/>
      <c r="R15" s="143"/>
      <c r="S15" s="143"/>
      <c r="T15" s="144"/>
      <c r="U15" s="143"/>
      <c r="V15" s="266"/>
      <c r="W15" s="145"/>
      <c r="X15" s="269"/>
      <c r="Y15" s="148" t="str">
        <f>IF($X15="○",VLOOKUP($AY15,参照データ!$D$89:$E$100,2),"")</f>
        <v/>
      </c>
      <c r="Z15" s="271"/>
      <c r="AA15" s="148" t="str">
        <f>IF($Z15="○",VLOOKUP($AY15,参照データ!$D$89:$J$100,6),"")</f>
        <v/>
      </c>
      <c r="AB15" s="271"/>
      <c r="AC15" s="148" t="str">
        <f>IF($AB15="○",VLOOKUP($AY15,参照データ!$D$89:$N$100,10),"")</f>
        <v/>
      </c>
      <c r="AD15" s="271"/>
      <c r="AE15" s="148" t="str">
        <f>IF($AD15="○",VLOOKUP($AY15,参照データ!$D$89:$Q$100,14),"")</f>
        <v/>
      </c>
      <c r="AF15" s="271"/>
      <c r="AG15" s="148" t="str">
        <f>IF($AF15="○",VLOOKUP($AY15,参照データ!$D$89:$Q$100,14),"")</f>
        <v/>
      </c>
      <c r="AH15" s="266"/>
      <c r="AI15" s="370" t="str">
        <f t="shared" ref="AI15:AI72" si="38">IF($AH15="","",$CF15)</f>
        <v/>
      </c>
      <c r="AJ15" s="498"/>
      <c r="AK15" s="497" t="str">
        <f>IF($AJ15="○",VLOOKUP($AY15,参照データ!$D$89:$U$100,18),"")</f>
        <v/>
      </c>
      <c r="AL15" s="170" t="str">
        <f t="shared" si="13"/>
        <v/>
      </c>
      <c r="AM15" s="269"/>
      <c r="AN15" s="413" t="str">
        <f>IF($AM15="○",VLOOKUP($CR15,参照データ!$D$143:$E$150,2),"")</f>
        <v/>
      </c>
      <c r="AO15" s="416"/>
      <c r="AP15" s="366" t="str">
        <f t="shared" si="14"/>
        <v/>
      </c>
      <c r="AQ15" s="465"/>
      <c r="AR15" s="466"/>
      <c r="AT15" s="285" t="s">
        <v>163</v>
      </c>
      <c r="AU15" s="273" t="str">
        <f t="shared" si="15"/>
        <v/>
      </c>
      <c r="AV15" s="274" t="str">
        <f t="shared" si="16"/>
        <v/>
      </c>
      <c r="AW15" s="226" t="e">
        <f t="shared" si="17"/>
        <v>#VALUE!</v>
      </c>
      <c r="AX15" t="e">
        <f>IF(AND(AW15&gt;=参照データ!$C$71,AW15&lt;=参照データ!$C$69),1,IF(AND(AW15&gt;=参照データ!$C$74,AW15&lt;=参照データ!$C$72),2,IF(AND(AW15&gt;=参照データ!$C$77,AW15&lt;=参照データ!$C$75),3,IF(AND(AW15&gt;=参照データ!$C$80,AW15&lt;=参照データ!$C$78),4,IF(AND(AW15&gt;=参照データ!$C$83,AW15&lt;=参照データ!$C$81),5,IF(AW15&lt;=参照データ!$C$84,6,0))))))</f>
        <v>#VALUE!</v>
      </c>
      <c r="AY15" t="e">
        <f>IF(AV15="男子",VLOOKUP(AX15,参照データ!$C$95:$D$100,2),AX15)</f>
        <v>#VALUE!</v>
      </c>
      <c r="AZ15" s="241" t="str">
        <f t="shared" si="2"/>
        <v/>
      </c>
      <c r="BA15" s="219" t="str">
        <f>IF($J15="○",VLOOKUP($AZ15,参照データ!$B$24:$G$41,3,0),"")</f>
        <v/>
      </c>
      <c r="BB15" s="220" t="str">
        <f>IF($K15="○",VLOOKUP($AZ15,参照データ!$B$24:$G$41,4,0),"")</f>
        <v/>
      </c>
      <c r="BC15" s="220" t="str">
        <f>IF($L15="○",VLOOKUP($AZ15,参照データ!$B$24:$G$41,5,0),"")</f>
        <v/>
      </c>
      <c r="BD15" s="220" t="str">
        <f>IF($M15="○",VLOOKUP($AZ15,参照データ!$B$24:$G$41,6,0),"")</f>
        <v/>
      </c>
      <c r="BE15" s="220" t="str">
        <f>IF($N15="○",VLOOKUP($AZ15,参照データ!$B$24:$H$41,7,0),"")</f>
        <v/>
      </c>
      <c r="BF15" s="221" t="str">
        <f>IF($O15="○",VLOOKUP($AZ15,参照データ!$B$24:$I$41,8,0),"")</f>
        <v/>
      </c>
      <c r="BG15" s="344" t="str">
        <f t="shared" si="18"/>
        <v/>
      </c>
      <c r="BH15" s="242" t="str">
        <f>IF($Q15="入門",VLOOKUP($AZ15,参照データ!$B$46:$U$63,3,0),IF($Q15="初級",VLOOKUP($AZ15,参照データ!$B$46:$U$63,4,0),IF($Q15="中級",VLOOKUP($AZ15,参照データ!$B$46:$U$63,5,0),IF($Q15="上級",VLOOKUP($AZ15,参照データ!$B$46:$U$63,6,0),""))))</f>
        <v/>
      </c>
      <c r="BI15" s="242" t="str">
        <f>IF($R15="初級",VLOOKUP($AZ15,参照データ!$B$46:$U$63,7,0),IF($R15="中級",VLOOKUP($AZ15,参照データ!$B$46:$U$63,8,0),IF($R15="上級",VLOOKUP($AZ15,参照データ!$B$46:$U$63,9,0),"")))</f>
        <v/>
      </c>
      <c r="BJ15" s="242" t="str">
        <f>IF($S15="初級",VLOOKUP($AZ15,参照データ!$B$46:$U$63,10,0),IF($S15="上級",VLOOKUP($AZ15,参照データ!$B$46:$U$63,11,0),""))</f>
        <v/>
      </c>
      <c r="BK15" s="242" t="str">
        <f>IF($T15="初級",VLOOKUP($AZ15,参照データ!$B$46:$U$63,15,0),IF($T15="中級",VLOOKUP($AZ15,参照データ!$B$46:$U$63,16,0),IF($T15="上級",VLOOKUP($AZ15,参照データ!$B$46:$U$63,17,0),"")))</f>
        <v/>
      </c>
      <c r="BL15" s="242" t="str">
        <f>IF($U15="初級",VLOOKUP($AZ15,参照データ!$B$46:$U$63,12,0),IF($U15="中級",VLOOKUP($AZ15,参照データ!$B$46:$U$63,13,0),IF($U15="上級",VLOOKUP($AZ15,参照データ!$B$46:$U$63,14,0),"")))</f>
        <v/>
      </c>
      <c r="BM15" s="21" t="str">
        <f t="shared" si="19"/>
        <v/>
      </c>
      <c r="BN15" s="21" t="str">
        <f>IF($V15="初級",VLOOKUP($AZ15,参照データ!$B$46:$U$63,18,0),IF($V15="中級",VLOOKUP($AZ15,参照データ!$B$46:$U$63,19,0),IF($V15="上級",VLOOKUP($AZ15,参照データ!$B$46:$U$63,20,0),"")))</f>
        <v/>
      </c>
      <c r="BO15" s="604">
        <v>2</v>
      </c>
      <c r="BP15" s="255" t="s">
        <v>242</v>
      </c>
      <c r="BQ15" s="251" t="str">
        <f t="shared" si="20"/>
        <v/>
      </c>
      <c r="BR15" s="594" t="str">
        <f>IF(OR($BQ15="",$BQ16=""),"",IF($BQ15&gt;$BQ16,$BQ15,$BQ16))</f>
        <v/>
      </c>
      <c r="BT15" s="241" t="e">
        <f t="shared" si="3"/>
        <v>#VALUE!</v>
      </c>
      <c r="BU15" s="245" t="str">
        <f>IF($X15="○",VLOOKUP($BT15,参照データ!$D$89:$F$100,3,0),"")</f>
        <v/>
      </c>
      <c r="BV15" s="246" t="str">
        <f t="shared" si="4"/>
        <v/>
      </c>
      <c r="BW15" s="245" t="str">
        <f>IF($Z15="○",VLOOKUP($BT15,参照データ!$D$89:$J$100,7,0),"")</f>
        <v/>
      </c>
      <c r="BX15" s="246" t="str">
        <f t="shared" si="5"/>
        <v/>
      </c>
      <c r="BY15" s="245" t="str">
        <f>IF($AB15="○",VLOOKUP($BT15,参照データ!$D$89:$N$100,11,0),"")</f>
        <v/>
      </c>
      <c r="BZ15" s="246" t="str">
        <f t="shared" si="6"/>
        <v/>
      </c>
      <c r="CA15" s="245" t="str">
        <f>IF($AD15="○",VLOOKUP($BT15,参照データ!$D$89:$T$100,17,0),"")</f>
        <v/>
      </c>
      <c r="CB15" s="246" t="str">
        <f t="shared" si="21"/>
        <v/>
      </c>
      <c r="CC15" s="245" t="str">
        <f>IF($AF15="○",VLOOKUP($BT15,参照データ!$D$89:$T$100,16,0),"")</f>
        <v/>
      </c>
      <c r="CD15" s="246" t="str">
        <f t="shared" si="22"/>
        <v/>
      </c>
      <c r="CE15" s="25">
        <f t="shared" si="23"/>
        <v>0</v>
      </c>
      <c r="CF15" s="312" t="e">
        <f t="shared" si="7"/>
        <v>#N/A</v>
      </c>
      <c r="CG15" s="300" t="str">
        <f t="shared" si="24"/>
        <v/>
      </c>
      <c r="CH15" s="648">
        <v>2</v>
      </c>
      <c r="CI15" s="256" t="s">
        <v>621</v>
      </c>
      <c r="CJ15" s="257" t="e">
        <f t="shared" si="8"/>
        <v>#N/A</v>
      </c>
      <c r="CK15" s="257" t="e">
        <f>VLOOKUP(CJ15,参照データ!$D$89:$R$100,15,0)</f>
        <v>#N/A</v>
      </c>
      <c r="CL15" s="649" t="e">
        <f>IF(OR($CJ15="",$CJ16=""),"",IF($CJ15&gt;$CJ16,$CK15,$CK16))</f>
        <v>#N/A</v>
      </c>
      <c r="CM15" s="289" t="e">
        <f>INDEX(参照データ!$Q$89:$Q$100,MATCH($CL15,参照データ!$R$89:$R$100,0))</f>
        <v>#N/A</v>
      </c>
      <c r="CN15" s="290" t="str">
        <f>IF($AJ15="○",VLOOKUP($BT15,参照データ!$D$89:$V$100,19,0),"")</f>
        <v/>
      </c>
      <c r="CO15" s="246" t="str">
        <f t="shared" si="25"/>
        <v/>
      </c>
      <c r="CQ15" t="e">
        <f>IF(AND($AW15&gt;=参照データ!$C$132,$AW15&lt;=参照データ!$C$130),1,IF(AND($AW15&gt;=参照データ!$C$135,$AW15&lt;=参照データ!$C$133),2,IF(AND($AW15&gt;=参照データ!$C$138,$AW15&lt;=参照データ!$C$136),3,IF($AW15&lt;=参照データ!$C$139,4,0))))</f>
        <v>#VALUE!</v>
      </c>
      <c r="CR15" t="e">
        <f>IF($AV15="男子",VLOOKUP(CQ15,参照データ!$C$143:$D$150,2),CQ15)</f>
        <v>#VALUE!</v>
      </c>
      <c r="CS15" s="388" t="e">
        <f t="shared" si="26"/>
        <v>#VALUE!</v>
      </c>
      <c r="CT15" s="389" t="str">
        <f>IF($AM15="○",VLOOKUP($CS15,参照データ!$D$143:$F$150,3,0),"")</f>
        <v/>
      </c>
      <c r="CU15" s="390" t="str">
        <f t="shared" si="27"/>
        <v/>
      </c>
      <c r="CV15">
        <f t="shared" ref="CV15:CV72" si="39">$AO15</f>
        <v>0</v>
      </c>
      <c r="CW15" s="312" t="e">
        <f t="shared" si="9"/>
        <v>#N/A</v>
      </c>
      <c r="CX15" s="391" t="str">
        <f t="shared" si="28"/>
        <v/>
      </c>
      <c r="CY15" s="724">
        <v>2</v>
      </c>
      <c r="CZ15" s="398" t="s">
        <v>242</v>
      </c>
      <c r="DA15" s="399" t="e">
        <f t="shared" ref="DA15:DA72" si="40">VLOOKUP($CZ15,$AO$13:$CQ$72,55,0)</f>
        <v>#N/A</v>
      </c>
      <c r="DB15" s="399" t="e">
        <f>VLOOKUP(DA15,参照データ!$D$143:$J$150,7,0)</f>
        <v>#N/A</v>
      </c>
      <c r="DC15" s="725" t="e">
        <f t="shared" ref="DC15" si="41">IF(OR($DA15="",$DA16=""),"",IF($DA15&gt;$DA16,$DB15,$DB16))</f>
        <v>#N/A</v>
      </c>
      <c r="DD15" s="400" t="e">
        <f>INDEX(参照データ!$I$143:$I$150,MATCH($DC15,参照データ!$J$143:$J$150,0))</f>
        <v>#N/A</v>
      </c>
      <c r="DF15" s="254">
        <f>(COUNTIF($J15:$O15,"&lt;&gt;"))*参照データ!$D$3</f>
        <v>0</v>
      </c>
      <c r="DG15" s="297">
        <f t="shared" si="29"/>
        <v>0</v>
      </c>
      <c r="DH15" s="157" cm="1">
        <f t="array" ref="DH15">(SUM(COUNTIF($Q15:$U15,{"入門","初級"}))*3000)+(SUM(COUNTIF($Q15:$U15,{"中級","上級"})*3500))</f>
        <v>0</v>
      </c>
      <c r="DI15" s="157">
        <f>IFERROR(VLOOKUP(V15,参照データ!$G$3:$I$6,3,0),0)</f>
        <v>0</v>
      </c>
      <c r="DJ15" s="469">
        <f t="shared" si="30"/>
        <v>0</v>
      </c>
      <c r="DK15" s="157">
        <f t="shared" si="31"/>
        <v>0</v>
      </c>
      <c r="DL15" s="157">
        <f t="shared" si="32"/>
        <v>0</v>
      </c>
      <c r="DM15" s="157">
        <f>(COUNTIF($AM15,"○"))*参照データ!$H$13</f>
        <v>0</v>
      </c>
      <c r="DN15" s="157">
        <f>(IF($AO15&gt;0,参照データ!$I$14,0))</f>
        <v>0</v>
      </c>
      <c r="DO15" s="249">
        <f t="array" ref="DO15">SUM(IF(ISERROR($DF15:$DN15),0,($DF15:$DN15)))</f>
        <v>0</v>
      </c>
      <c r="DP15" s="157"/>
      <c r="DQ15" s="157">
        <f t="shared" si="33"/>
        <v>0</v>
      </c>
      <c r="DR15" s="157">
        <f t="shared" si="34"/>
        <v>0</v>
      </c>
      <c r="DS15" s="157">
        <f t="shared" si="35"/>
        <v>0</v>
      </c>
      <c r="DT15" s="157">
        <f t="shared" si="36"/>
        <v>0</v>
      </c>
      <c r="DU15" s="157">
        <f t="shared" si="37"/>
        <v>0</v>
      </c>
      <c r="DV15" t="str">
        <f t="shared" si="10"/>
        <v/>
      </c>
    </row>
    <row r="16" spans="1:126" ht="18.75" customHeight="1" x14ac:dyDescent="0.2">
      <c r="A16">
        <v>4</v>
      </c>
      <c r="B16" s="183" t="str">
        <f>IF(D16="","",IF(D16="重複","",COUNTIF(B$13:$B15,"&gt;0")+1))</f>
        <v/>
      </c>
      <c r="C16" s="264"/>
      <c r="D16" s="134"/>
      <c r="E16" s="134"/>
      <c r="F16" s="135"/>
      <c r="G16" s="136"/>
      <c r="H16" s="169">
        <f t="shared" si="11"/>
        <v>0</v>
      </c>
      <c r="I16" s="170" t="str">
        <f t="shared" si="12"/>
        <v/>
      </c>
      <c r="J16" s="138"/>
      <c r="K16" s="138"/>
      <c r="L16" s="138"/>
      <c r="M16" s="139"/>
      <c r="N16" s="146"/>
      <c r="O16" s="141"/>
      <c r="P16" s="336"/>
      <c r="Q16" s="142"/>
      <c r="R16" s="143"/>
      <c r="S16" s="143"/>
      <c r="T16" s="144"/>
      <c r="U16" s="143"/>
      <c r="V16" s="266"/>
      <c r="W16" s="145"/>
      <c r="X16" s="269"/>
      <c r="Y16" s="148" t="str">
        <f>IF($X16="○",VLOOKUP($AY16,参照データ!$D$89:$E$100,2),"")</f>
        <v/>
      </c>
      <c r="Z16" s="271"/>
      <c r="AA16" s="148" t="str">
        <f>IF($Z16="○",VLOOKUP($AY16,参照データ!$D$89:$J$100,6),"")</f>
        <v/>
      </c>
      <c r="AB16" s="271"/>
      <c r="AC16" s="148" t="str">
        <f>IF($AB16="○",VLOOKUP($AY16,参照データ!$D$89:$N$100,10),"")</f>
        <v/>
      </c>
      <c r="AD16" s="271"/>
      <c r="AE16" s="148" t="str">
        <f>IF($AD16="○",VLOOKUP($AY16,参照データ!$D$89:$Q$100,14),"")</f>
        <v/>
      </c>
      <c r="AF16" s="271"/>
      <c r="AG16" s="148" t="str">
        <f>IF($AF16="○",VLOOKUP($AY16,参照データ!$D$89:$Q$100,14),"")</f>
        <v/>
      </c>
      <c r="AH16" s="266"/>
      <c r="AI16" s="370" t="str">
        <f t="shared" si="38"/>
        <v/>
      </c>
      <c r="AJ16" s="498"/>
      <c r="AK16" s="497" t="str">
        <f>IF($AJ16="○",VLOOKUP($AY16,参照データ!$D$89:$U$100,18),"")</f>
        <v/>
      </c>
      <c r="AL16" s="170" t="str">
        <f t="shared" si="13"/>
        <v/>
      </c>
      <c r="AM16" s="269"/>
      <c r="AN16" s="413" t="str">
        <f>IF($AM16="○",VLOOKUP($CR16,参照データ!$D$143:$E$150,2),"")</f>
        <v/>
      </c>
      <c r="AO16" s="416"/>
      <c r="AP16" s="366" t="str">
        <f t="shared" si="14"/>
        <v/>
      </c>
      <c r="AQ16" s="465"/>
      <c r="AR16" s="466"/>
      <c r="AT16" s="285" t="s">
        <v>157</v>
      </c>
      <c r="AU16" s="273" t="str">
        <f t="shared" si="15"/>
        <v/>
      </c>
      <c r="AV16" s="274" t="str">
        <f t="shared" si="16"/>
        <v/>
      </c>
      <c r="AW16" s="226" t="e">
        <f>VALUE(AU16)</f>
        <v>#VALUE!</v>
      </c>
      <c r="AX16" t="e">
        <f>IF(AND(AW16&gt;=参照データ!$C$71,AW16&lt;=参照データ!$C$69),1,IF(AND(AW16&gt;=参照データ!$C$74,AW16&lt;=参照データ!$C$72),2,IF(AND(AW16&gt;=参照データ!$C$77,AW16&lt;=参照データ!$C$75),3,IF(AND(AW16&gt;=参照データ!$C$80,AW16&lt;=参照データ!$C$78),4,IF(AND(AW16&gt;=参照データ!$C$83,AW16&lt;=参照データ!$C$81),5,IF(AW16&lt;=参照データ!$C$84,6,0))))))</f>
        <v>#VALUE!</v>
      </c>
      <c r="AY16" t="e">
        <f>IF(AV16="男子",VLOOKUP(AX16,参照データ!$C$95:$D$100,2),AX16)</f>
        <v>#VALUE!</v>
      </c>
      <c r="AZ16" s="241" t="str">
        <f t="shared" si="2"/>
        <v/>
      </c>
      <c r="BA16" s="219" t="str">
        <f>IF($J16="○",VLOOKUP($AZ16,参照データ!$B$24:$G$41,3,0),"")</f>
        <v/>
      </c>
      <c r="BB16" s="220" t="str">
        <f>IF($K16="○",VLOOKUP($AZ16,参照データ!$B$24:$G$41,4,0),"")</f>
        <v/>
      </c>
      <c r="BC16" s="220" t="str">
        <f>IF($L16="○",VLOOKUP($AZ16,参照データ!$B$24:$G$41,5,0),"")</f>
        <v/>
      </c>
      <c r="BD16" s="220" t="str">
        <f>IF($M16="○",VLOOKUP($AZ16,参照データ!$B$24:$G$41,6,0),"")</f>
        <v/>
      </c>
      <c r="BE16" s="220" t="str">
        <f>IF($N16="○",VLOOKUP($AZ16,参照データ!$B$24:$H$41,7,0),"")</f>
        <v/>
      </c>
      <c r="BF16" s="221" t="str">
        <f>IF($O16="○",VLOOKUP($AZ16,参照データ!$B$24:$I$41,8,0),"")</f>
        <v/>
      </c>
      <c r="BG16" s="344" t="str">
        <f t="shared" si="18"/>
        <v/>
      </c>
      <c r="BH16" s="242" t="str">
        <f>IF($Q16="入門",VLOOKUP($AZ16,参照データ!$B$46:$U$63,3,0),IF($Q16="初級",VLOOKUP($AZ16,参照データ!$B$46:$U$63,4,0),IF($Q16="中級",VLOOKUP($AZ16,参照データ!$B$46:$U$63,5,0),IF($Q16="上級",VLOOKUP($AZ16,参照データ!$B$46:$U$63,6,0),""))))</f>
        <v/>
      </c>
      <c r="BI16" s="242" t="str">
        <f>IF($R16="初級",VLOOKUP($AZ16,参照データ!$B$46:$U$63,7,0),IF($R16="中級",VLOOKUP($AZ16,参照データ!$B$46:$U$63,8,0),IF($R16="上級",VLOOKUP($AZ16,参照データ!$B$46:$U$63,9,0),"")))</f>
        <v/>
      </c>
      <c r="BJ16" s="242" t="str">
        <f>IF($S16="初級",VLOOKUP($AZ16,参照データ!$B$46:$U$63,10,0),IF($S16="上級",VLOOKUP($AZ16,参照データ!$B$46:$U$63,11,0),""))</f>
        <v/>
      </c>
      <c r="BK16" s="242" t="str">
        <f>IF($T16="初級",VLOOKUP($AZ16,参照データ!$B$46:$U$63,15,0),IF($T16="中級",VLOOKUP($AZ16,参照データ!$B$46:$U$63,16,0),IF($T16="上級",VLOOKUP($AZ16,参照データ!$B$46:$U$63,17,0),"")))</f>
        <v/>
      </c>
      <c r="BL16" s="242" t="str">
        <f>IF($U16="初級",VLOOKUP($AZ16,参照データ!$B$46:$U$63,12,0),IF($U16="中級",VLOOKUP($AZ16,参照データ!$B$46:$U$63,13,0),IF($U16="上級",VLOOKUP($AZ16,参照データ!$B$46:$U$63,14,0),"")))</f>
        <v/>
      </c>
      <c r="BM16" s="21" t="str">
        <f t="shared" si="19"/>
        <v/>
      </c>
      <c r="BN16" s="21" t="str">
        <f>IF($V16="初級",VLOOKUP($AZ16,参照データ!$B$46:$U$63,18,0),IF($V16="中級",VLOOKUP($AZ16,参照データ!$B$46:$U$63,19,0),IF($V16="上級",VLOOKUP($AZ16,参照データ!$B$46:$U$63,20,0),"")))</f>
        <v/>
      </c>
      <c r="BO16" s="587"/>
      <c r="BP16" s="250" t="s">
        <v>243</v>
      </c>
      <c r="BQ16" s="251" t="str">
        <f t="shared" si="20"/>
        <v/>
      </c>
      <c r="BR16" s="595"/>
      <c r="BT16" s="241" t="e">
        <f t="shared" si="3"/>
        <v>#VALUE!</v>
      </c>
      <c r="BU16" s="245" t="str">
        <f>IF($X16="○",VLOOKUP($BT16,参照データ!$D$89:$F$100,3,0),"")</f>
        <v/>
      </c>
      <c r="BV16" s="246" t="str">
        <f t="shared" si="4"/>
        <v/>
      </c>
      <c r="BW16" s="245" t="str">
        <f>IF($Z16="○",VLOOKUP($BT16,参照データ!$D$89:$J$100,7,0),"")</f>
        <v/>
      </c>
      <c r="BX16" s="246" t="str">
        <f t="shared" si="5"/>
        <v/>
      </c>
      <c r="BY16" s="245" t="str">
        <f>IF($AB16="○",VLOOKUP($BT16,参照データ!$D$89:$N$100,11,0),"")</f>
        <v/>
      </c>
      <c r="BZ16" s="246" t="str">
        <f t="shared" si="6"/>
        <v/>
      </c>
      <c r="CA16" s="245" t="str">
        <f>IF($AD16="○",VLOOKUP($BT16,参照データ!$D$89:$T$100,17,0),"")</f>
        <v/>
      </c>
      <c r="CB16" s="246" t="str">
        <f t="shared" si="21"/>
        <v/>
      </c>
      <c r="CC16" s="245" t="str">
        <f>IF($AF16="○",VLOOKUP($BT16,参照データ!$D$89:$T$100,16,0),"")</f>
        <v/>
      </c>
      <c r="CD16" s="246" t="str">
        <f t="shared" si="22"/>
        <v/>
      </c>
      <c r="CE16" s="25">
        <f t="shared" si="23"/>
        <v>0</v>
      </c>
      <c r="CF16" s="312" t="e">
        <f t="shared" si="7"/>
        <v>#N/A</v>
      </c>
      <c r="CG16" s="300" t="str">
        <f t="shared" si="24"/>
        <v/>
      </c>
      <c r="CH16" s="645"/>
      <c r="CI16" s="252" t="s">
        <v>620</v>
      </c>
      <c r="CJ16" s="253" t="e">
        <f t="shared" si="8"/>
        <v>#N/A</v>
      </c>
      <c r="CK16" s="253" t="e">
        <f>VLOOKUP(CJ16,参照データ!$D$89:$R$100,15,0)</f>
        <v>#N/A</v>
      </c>
      <c r="CL16" s="647"/>
      <c r="CM16" s="288" t="e">
        <f>CM15</f>
        <v>#N/A</v>
      </c>
      <c r="CN16" s="290" t="str">
        <f>IF($AJ16="○",VLOOKUP($BT16,参照データ!$D$89:$V$100,19,0),"")</f>
        <v/>
      </c>
      <c r="CO16" s="246" t="str">
        <f t="shared" si="25"/>
        <v/>
      </c>
      <c r="CQ16" t="e">
        <f>IF(AND($AW16&gt;=参照データ!$C$132,$AW16&lt;=参照データ!$C$130),1,IF(AND($AW16&gt;=参照データ!$C$135,$AW16&lt;=参照データ!$C$133),2,IF(AND($AW16&gt;=参照データ!$C$138,$AW16&lt;=参照データ!$C$136),3,IF($AW16&lt;=参照データ!$C$139,4,0))))</f>
        <v>#VALUE!</v>
      </c>
      <c r="CR16" t="e">
        <f>IF($AV16="男子",VLOOKUP(CQ16,参照データ!$C$143:$D$150,2),CQ16)</f>
        <v>#VALUE!</v>
      </c>
      <c r="CS16" s="388" t="e">
        <f t="shared" si="26"/>
        <v>#VALUE!</v>
      </c>
      <c r="CT16" s="389" t="str">
        <f>IF($AM16="○",VLOOKUP($CS16,参照データ!$D$143:$F$150,3,0),"")</f>
        <v/>
      </c>
      <c r="CU16" s="390" t="str">
        <f t="shared" si="27"/>
        <v/>
      </c>
      <c r="CV16">
        <f t="shared" si="39"/>
        <v>0</v>
      </c>
      <c r="CW16" s="312" t="e">
        <f t="shared" si="9"/>
        <v>#N/A</v>
      </c>
      <c r="CX16" s="391" t="str">
        <f t="shared" si="28"/>
        <v/>
      </c>
      <c r="CY16" s="721"/>
      <c r="CZ16" s="395" t="s">
        <v>243</v>
      </c>
      <c r="DA16" s="396" t="e">
        <f t="shared" si="40"/>
        <v>#N/A</v>
      </c>
      <c r="DB16" s="396" t="e">
        <f>VLOOKUP(DA16,参照データ!$D$143:$J$150,7,0)</f>
        <v>#N/A</v>
      </c>
      <c r="DC16" s="723"/>
      <c r="DD16" s="397" t="e">
        <f t="shared" ref="DD16" si="42">DD15</f>
        <v>#N/A</v>
      </c>
      <c r="DF16" s="254">
        <f>(COUNTIF($J16:$O16,"&lt;&gt;"))*参照データ!$D$3</f>
        <v>0</v>
      </c>
      <c r="DG16" s="297">
        <f t="shared" si="29"/>
        <v>0</v>
      </c>
      <c r="DH16" s="157" cm="1">
        <f t="array" ref="DH16">(SUM(COUNTIF($Q16:$U16,{"入門","初級"}))*3000)+(SUM(COUNTIF($Q16:$U16,{"中級","上級"})*3500))</f>
        <v>0</v>
      </c>
      <c r="DI16" s="157">
        <f>IFERROR(VLOOKUP(V16,参照データ!$G$3:$I$6,3,0),0)</f>
        <v>0</v>
      </c>
      <c r="DJ16" s="469">
        <f t="shared" si="30"/>
        <v>0</v>
      </c>
      <c r="DK16" s="157">
        <f t="shared" si="31"/>
        <v>0</v>
      </c>
      <c r="DL16" s="157">
        <f t="shared" si="32"/>
        <v>0</v>
      </c>
      <c r="DM16" s="157">
        <f>(COUNTIF($AM16,"○"))*参照データ!$H$13</f>
        <v>0</v>
      </c>
      <c r="DN16" s="157">
        <f>(IF($AO16&gt;0,参照データ!$I$14,0))</f>
        <v>0</v>
      </c>
      <c r="DO16" s="249">
        <f t="array" ref="DO16">SUM(IF(ISERROR($DF16:$DN16),0,($DF16:$DN16)))</f>
        <v>0</v>
      </c>
      <c r="DP16" s="157"/>
      <c r="DQ16" s="157">
        <f t="shared" si="33"/>
        <v>0</v>
      </c>
      <c r="DR16" s="157">
        <f t="shared" si="34"/>
        <v>0</v>
      </c>
      <c r="DS16" s="157">
        <f t="shared" si="35"/>
        <v>0</v>
      </c>
      <c r="DT16" s="157">
        <f>COUNTIF($X16:$AJ16,"○")+COUNTIF($AH16,"*")</f>
        <v>0</v>
      </c>
      <c r="DU16" s="157">
        <f t="shared" si="37"/>
        <v>0</v>
      </c>
      <c r="DV16" t="str">
        <f t="shared" si="10"/>
        <v/>
      </c>
    </row>
    <row r="17" spans="1:126" ht="18.75" customHeight="1" x14ac:dyDescent="0.2">
      <c r="A17">
        <v>5</v>
      </c>
      <c r="B17" s="183" t="str">
        <f>IF(D17="","",IF(D17="重複","",COUNTIF(B$13:$B16,"&gt;0")+1))</f>
        <v/>
      </c>
      <c r="C17" s="264"/>
      <c r="D17" s="134"/>
      <c r="E17" s="134"/>
      <c r="F17" s="135"/>
      <c r="G17" s="136"/>
      <c r="H17" s="169">
        <f t="shared" si="11"/>
        <v>0</v>
      </c>
      <c r="I17" s="170" t="str">
        <f t="shared" si="12"/>
        <v/>
      </c>
      <c r="J17" s="138"/>
      <c r="K17" s="138"/>
      <c r="L17" s="138"/>
      <c r="M17" s="139"/>
      <c r="N17" s="146"/>
      <c r="O17" s="141"/>
      <c r="P17" s="336"/>
      <c r="Q17" s="142"/>
      <c r="R17" s="143"/>
      <c r="S17" s="143"/>
      <c r="T17" s="144"/>
      <c r="U17" s="143"/>
      <c r="V17" s="266"/>
      <c r="W17" s="145"/>
      <c r="X17" s="269"/>
      <c r="Y17" s="148" t="str">
        <f>IF($X17="○",VLOOKUP($AY17,参照データ!$D$89:$E$100,2),"")</f>
        <v/>
      </c>
      <c r="Z17" s="271"/>
      <c r="AA17" s="148" t="str">
        <f>IF($Z17="○",VLOOKUP($AY17,参照データ!$D$89:$J$100,6),"")</f>
        <v/>
      </c>
      <c r="AB17" s="271"/>
      <c r="AC17" s="148" t="str">
        <f>IF($AB17="○",VLOOKUP($AY17,参照データ!$D$89:$N$100,10),"")</f>
        <v/>
      </c>
      <c r="AD17" s="271"/>
      <c r="AE17" s="148" t="str">
        <f>IF($AD17="○",VLOOKUP($AY17,参照データ!$D$89:$Q$100,14),"")</f>
        <v/>
      </c>
      <c r="AF17" s="271"/>
      <c r="AG17" s="148" t="str">
        <f>IF($AF17="○",VLOOKUP($AY17,参照データ!$D$89:$Q$100,14),"")</f>
        <v/>
      </c>
      <c r="AH17" s="266"/>
      <c r="AI17" s="370" t="str">
        <f t="shared" si="38"/>
        <v/>
      </c>
      <c r="AJ17" s="498"/>
      <c r="AK17" s="497" t="str">
        <f>IF($AJ17="○",VLOOKUP($AY17,参照データ!$D$89:$U$100,18),"")</f>
        <v/>
      </c>
      <c r="AL17" s="170" t="str">
        <f t="shared" si="13"/>
        <v/>
      </c>
      <c r="AM17" s="269"/>
      <c r="AN17" s="413" t="str">
        <f>IF($AM17="○",VLOOKUP($CR17,参照データ!$D$143:$E$150,2),"")</f>
        <v/>
      </c>
      <c r="AO17" s="416"/>
      <c r="AP17" s="366" t="str">
        <f t="shared" si="14"/>
        <v/>
      </c>
      <c r="AQ17" s="465"/>
      <c r="AR17" s="466"/>
      <c r="AT17" s="285" t="s">
        <v>158</v>
      </c>
      <c r="AU17" s="273" t="str">
        <f t="shared" si="15"/>
        <v/>
      </c>
      <c r="AV17" s="274" t="str">
        <f t="shared" si="16"/>
        <v/>
      </c>
      <c r="AW17" s="226" t="e">
        <f t="shared" si="17"/>
        <v>#VALUE!</v>
      </c>
      <c r="AX17" t="e">
        <f>IF(AND(AW17&gt;=参照データ!$C$71,AW17&lt;=参照データ!$C$69),1,IF(AND(AW17&gt;=参照データ!$C$74,AW17&lt;=参照データ!$C$72),2,IF(AND(AW17&gt;=参照データ!$C$77,AW17&lt;=参照データ!$C$75),3,IF(AND(AW17&gt;=参照データ!$C$80,AW17&lt;=参照データ!$C$78),4,IF(AND(AW17&gt;=参照データ!$C$83,AW17&lt;=参照データ!$C$81),5,IF(AW17&lt;=参照データ!$C$84,6,0))))))</f>
        <v>#VALUE!</v>
      </c>
      <c r="AY17" t="e">
        <f>IF(AV17="男子",VLOOKUP(AX17,参照データ!$C$95:$D$100,2),AX17)</f>
        <v>#VALUE!</v>
      </c>
      <c r="AZ17" s="241" t="str">
        <f t="shared" si="2"/>
        <v/>
      </c>
      <c r="BA17" s="219" t="str">
        <f>IF($J17="○",VLOOKUP($AZ17,参照データ!$B$24:$G$41,3,0),"")</f>
        <v/>
      </c>
      <c r="BB17" s="220" t="str">
        <f>IF($K17="○",VLOOKUP($AZ17,参照データ!$B$24:$G$41,4,0),"")</f>
        <v/>
      </c>
      <c r="BC17" s="220" t="str">
        <f>IF($L17="○",VLOOKUP($AZ17,参照データ!$B$24:$G$41,5,0),"")</f>
        <v/>
      </c>
      <c r="BD17" s="220" t="str">
        <f>IF($M17="○",VLOOKUP($AZ17,参照データ!$B$24:$G$41,6,0),"")</f>
        <v/>
      </c>
      <c r="BE17" s="220" t="str">
        <f>IF($N17="○",VLOOKUP($AZ17,参照データ!$B$24:$H$41,7,0),"")</f>
        <v/>
      </c>
      <c r="BF17" s="221" t="str">
        <f>IF($O17="○",VLOOKUP($AZ17,参照データ!$B$24:$I$41,8,0),"")</f>
        <v/>
      </c>
      <c r="BG17" s="344" t="str">
        <f t="shared" si="18"/>
        <v/>
      </c>
      <c r="BH17" s="242" t="str">
        <f>IF($Q17="入門",VLOOKUP($AZ17,参照データ!$B$46:$U$63,3,0),IF($Q17="初級",VLOOKUP($AZ17,参照データ!$B$46:$U$63,4,0),IF($Q17="中級",VLOOKUP($AZ17,参照データ!$B$46:$U$63,5,0),IF($Q17="上級",VLOOKUP($AZ17,参照データ!$B$46:$U$63,6,0),""))))</f>
        <v/>
      </c>
      <c r="BI17" s="242" t="str">
        <f>IF($R17="初級",VLOOKUP($AZ17,参照データ!$B$46:$U$63,7,0),IF($R17="中級",VLOOKUP($AZ17,参照データ!$B$46:$U$63,8,0),IF($R17="上級",VLOOKUP($AZ17,参照データ!$B$46:$U$63,9,0),"")))</f>
        <v/>
      </c>
      <c r="BJ17" s="242" t="str">
        <f>IF($S17="初級",VLOOKUP($AZ17,参照データ!$B$46:$U$63,10,0),IF($S17="上級",VLOOKUP($AZ17,参照データ!$B$46:$U$63,11,0),""))</f>
        <v/>
      </c>
      <c r="BK17" s="242" t="str">
        <f>IF($T17="初級",VLOOKUP($AZ17,参照データ!$B$46:$U$63,15,0),IF($T17="中級",VLOOKUP($AZ17,参照データ!$B$46:$U$63,16,0),IF($T17="上級",VLOOKUP($AZ17,参照データ!$B$46:$U$63,17,0),"")))</f>
        <v/>
      </c>
      <c r="BL17" s="242" t="str">
        <f>IF($U17="初級",VLOOKUP($AZ17,参照データ!$B$46:$U$63,12,0),IF($U17="中級",VLOOKUP($AZ17,参照データ!$B$46:$U$63,13,0),IF($U17="上級",VLOOKUP($AZ17,参照データ!$B$46:$U$63,14,0),"")))</f>
        <v/>
      </c>
      <c r="BM17" s="21" t="str">
        <f t="shared" si="19"/>
        <v/>
      </c>
      <c r="BN17" s="21" t="str">
        <f>IF($V17="初級",VLOOKUP($AZ17,参照データ!$B$46:$U$63,18,0),IF($V17="中級",VLOOKUP($AZ17,参照データ!$B$46:$U$63,19,0),IF($V17="上級",VLOOKUP($AZ17,参照データ!$B$46:$U$63,20,0),"")))</f>
        <v/>
      </c>
      <c r="BO17" s="604">
        <v>3</v>
      </c>
      <c r="BP17" s="255" t="s">
        <v>244</v>
      </c>
      <c r="BQ17" s="251" t="str">
        <f t="shared" si="20"/>
        <v/>
      </c>
      <c r="BR17" s="594" t="str">
        <f>IF(OR($BQ17="",$BQ18=""),"",IF($BQ17&gt;$BQ18,$BQ17,$BQ18))</f>
        <v/>
      </c>
      <c r="BT17" s="241" t="e">
        <f t="shared" si="3"/>
        <v>#VALUE!</v>
      </c>
      <c r="BU17" s="245" t="str">
        <f>IF($X17="○",VLOOKUP($BT17,参照データ!$D$89:$F$100,3,0),"")</f>
        <v/>
      </c>
      <c r="BV17" s="246" t="str">
        <f t="shared" si="4"/>
        <v/>
      </c>
      <c r="BW17" s="245" t="str">
        <f>IF($Z17="○",VLOOKUP($BT17,参照データ!$D$89:$J$100,7,0),"")</f>
        <v/>
      </c>
      <c r="BX17" s="246" t="str">
        <f t="shared" si="5"/>
        <v/>
      </c>
      <c r="BY17" s="245" t="str">
        <f>IF($AB17="○",VLOOKUP($BT17,参照データ!$D$89:$N$100,11,0),"")</f>
        <v/>
      </c>
      <c r="BZ17" s="246" t="str">
        <f t="shared" si="6"/>
        <v/>
      </c>
      <c r="CA17" s="245" t="str">
        <f>IF($AD17="○",VLOOKUP($BT17,参照データ!$D$89:$T$100,17,0),"")</f>
        <v/>
      </c>
      <c r="CB17" s="246" t="str">
        <f t="shared" si="21"/>
        <v/>
      </c>
      <c r="CC17" s="245" t="str">
        <f>IF($AF17="○",VLOOKUP($BT17,参照データ!$D$89:$T$100,16,0),"")</f>
        <v/>
      </c>
      <c r="CD17" s="246" t="str">
        <f t="shared" si="22"/>
        <v/>
      </c>
      <c r="CE17" s="25">
        <f t="shared" si="23"/>
        <v>0</v>
      </c>
      <c r="CF17" s="312" t="e">
        <f t="shared" si="7"/>
        <v>#N/A</v>
      </c>
      <c r="CG17" s="300" t="str">
        <f t="shared" si="24"/>
        <v/>
      </c>
      <c r="CH17" s="648">
        <v>3</v>
      </c>
      <c r="CI17" s="256" t="s">
        <v>99</v>
      </c>
      <c r="CJ17" s="257" t="e">
        <f t="shared" si="8"/>
        <v>#N/A</v>
      </c>
      <c r="CK17" s="257" t="e">
        <f>VLOOKUP(CJ17,参照データ!$D$89:$R$100,15,0)</f>
        <v>#N/A</v>
      </c>
      <c r="CL17" s="649" t="e">
        <f>IF(OR($CJ17="",$CJ18=""),"",IF($CJ17&gt;$CJ18,$CK17,$CK18))</f>
        <v>#N/A</v>
      </c>
      <c r="CM17" s="289" t="e">
        <f>INDEX(参照データ!$Q$89:$Q$100,MATCH($CL17,参照データ!$R$89:$R$100,0))</f>
        <v>#N/A</v>
      </c>
      <c r="CN17" s="290" t="str">
        <f>IF($AJ17="○",VLOOKUP($BT17,参照データ!$D$89:$V$100,19,0),"")</f>
        <v/>
      </c>
      <c r="CO17" s="246" t="str">
        <f t="shared" si="25"/>
        <v/>
      </c>
      <c r="CQ17" t="e">
        <f>IF(AND($AW17&gt;=参照データ!$C$132,$AW17&lt;=参照データ!$C$130),1,IF(AND($AW17&gt;=参照データ!$C$135,$AW17&lt;=参照データ!$C$133),2,IF(AND($AW17&gt;=参照データ!$C$138,$AW17&lt;=参照データ!$C$136),3,IF($AW17&lt;=参照データ!$C$139,4,0))))</f>
        <v>#VALUE!</v>
      </c>
      <c r="CR17" t="e">
        <f>IF($AV17="男子",VLOOKUP(CQ17,参照データ!$C$143:$D$150,2),CQ17)</f>
        <v>#VALUE!</v>
      </c>
      <c r="CS17" s="388" t="e">
        <f t="shared" si="26"/>
        <v>#VALUE!</v>
      </c>
      <c r="CT17" s="389" t="str">
        <f>IF($AM17="○",VLOOKUP($CS17,参照データ!$D$143:$F$150,3,0),"")</f>
        <v/>
      </c>
      <c r="CU17" s="390" t="str">
        <f t="shared" si="27"/>
        <v/>
      </c>
      <c r="CV17">
        <f t="shared" si="39"/>
        <v>0</v>
      </c>
      <c r="CW17" s="312" t="e">
        <f t="shared" si="9"/>
        <v>#N/A</v>
      </c>
      <c r="CX17" s="391" t="str">
        <f t="shared" si="28"/>
        <v/>
      </c>
      <c r="CY17" s="724">
        <v>3</v>
      </c>
      <c r="CZ17" s="398" t="s">
        <v>99</v>
      </c>
      <c r="DA17" s="399" t="e">
        <f t="shared" si="40"/>
        <v>#N/A</v>
      </c>
      <c r="DB17" s="399" t="e">
        <f>VLOOKUP(DA17,参照データ!$D$143:$J$150,7,0)</f>
        <v>#N/A</v>
      </c>
      <c r="DC17" s="725" t="e">
        <f t="shared" ref="DC17" si="43">IF(OR($DA17="",$DA18=""),"",IF($DA17&gt;$DA18,$DB17,$DB18))</f>
        <v>#N/A</v>
      </c>
      <c r="DD17" s="400" t="e">
        <f>INDEX(参照データ!$I$143:$I$150,MATCH($DC17,参照データ!$J$143:$J$150,0))</f>
        <v>#N/A</v>
      </c>
      <c r="DF17" s="254">
        <f>(COUNTIF($J17:$O17,"&lt;&gt;"))*参照データ!$D$3</f>
        <v>0</v>
      </c>
      <c r="DG17" s="297">
        <f t="shared" si="29"/>
        <v>0</v>
      </c>
      <c r="DH17" s="157" cm="1">
        <f t="array" ref="DH17">(SUM(COUNTIF($Q17:$U17,{"入門","初級"}))*3000)+(SUM(COUNTIF($Q17:$U17,{"中級","上級"})*3500))</f>
        <v>0</v>
      </c>
      <c r="DI17" s="157">
        <f>IFERROR(VLOOKUP(V17,参照データ!$G$3:$I$6,3,0),0)</f>
        <v>0</v>
      </c>
      <c r="DJ17" s="469">
        <f t="shared" si="30"/>
        <v>0</v>
      </c>
      <c r="DK17" s="157">
        <f t="shared" si="31"/>
        <v>0</v>
      </c>
      <c r="DL17" s="157">
        <f t="shared" si="32"/>
        <v>0</v>
      </c>
      <c r="DM17" s="157">
        <f>(COUNTIF($AM17,"○"))*参照データ!$H$13</f>
        <v>0</v>
      </c>
      <c r="DN17" s="157">
        <f>(IF($AO17&gt;0,参照データ!$I$14,0))</f>
        <v>0</v>
      </c>
      <c r="DO17" s="249">
        <f t="array" ref="DO17">SUM(IF(ISERROR($DF17:$DN17),0,($DF17:$DN17)))</f>
        <v>0</v>
      </c>
      <c r="DP17" s="157"/>
      <c r="DQ17" s="157">
        <f t="shared" si="33"/>
        <v>0</v>
      </c>
      <c r="DR17" s="157">
        <f t="shared" si="34"/>
        <v>0</v>
      </c>
      <c r="DS17" s="157">
        <f t="shared" si="35"/>
        <v>0</v>
      </c>
      <c r="DT17" s="157">
        <f t="shared" si="36"/>
        <v>0</v>
      </c>
      <c r="DU17" s="157">
        <f t="shared" si="37"/>
        <v>0</v>
      </c>
      <c r="DV17" t="str">
        <f t="shared" si="10"/>
        <v/>
      </c>
    </row>
    <row r="18" spans="1:126" ht="18.75" customHeight="1" x14ac:dyDescent="0.2">
      <c r="A18">
        <v>6</v>
      </c>
      <c r="B18" s="183" t="str">
        <f>IF(D18="","",IF(D18="重複","",COUNTIF(B$13:$B17,"&gt;0")+1))</f>
        <v/>
      </c>
      <c r="C18" s="264"/>
      <c r="D18" s="134"/>
      <c r="E18" s="134"/>
      <c r="F18" s="135"/>
      <c r="G18" s="136"/>
      <c r="H18" s="169">
        <f t="shared" si="11"/>
        <v>0</v>
      </c>
      <c r="I18" s="170" t="str">
        <f t="shared" si="12"/>
        <v/>
      </c>
      <c r="J18" s="138"/>
      <c r="K18" s="138"/>
      <c r="L18" s="138"/>
      <c r="M18" s="139"/>
      <c r="N18" s="146"/>
      <c r="O18" s="141"/>
      <c r="P18" s="336"/>
      <c r="Q18" s="142"/>
      <c r="R18" s="143"/>
      <c r="S18" s="143"/>
      <c r="T18" s="144"/>
      <c r="U18" s="143"/>
      <c r="V18" s="266"/>
      <c r="W18" s="145"/>
      <c r="X18" s="269"/>
      <c r="Y18" s="148" t="str">
        <f>IF($X18="○",VLOOKUP($AY18,参照データ!$D$89:$E$100,2),"")</f>
        <v/>
      </c>
      <c r="Z18" s="271"/>
      <c r="AA18" s="148" t="str">
        <f>IF($Z18="○",VLOOKUP($AY18,参照データ!$D$89:$J$100,6),"")</f>
        <v/>
      </c>
      <c r="AB18" s="271"/>
      <c r="AC18" s="148" t="str">
        <f>IF($AB18="○",VLOOKUP($AY18,参照データ!$D$89:$N$100,10),"")</f>
        <v/>
      </c>
      <c r="AD18" s="271"/>
      <c r="AE18" s="148" t="str">
        <f>IF($AD18="○",VLOOKUP($AY18,参照データ!$D$89:$Q$100,14),"")</f>
        <v/>
      </c>
      <c r="AF18" s="271"/>
      <c r="AG18" s="148" t="str">
        <f>IF($AF18="○",VLOOKUP($AY18,参照データ!$D$89:$Q$100,14),"")</f>
        <v/>
      </c>
      <c r="AH18" s="266"/>
      <c r="AI18" s="370" t="str">
        <f t="shared" si="38"/>
        <v/>
      </c>
      <c r="AJ18" s="498"/>
      <c r="AK18" s="497" t="str">
        <f>IF($AJ18="○",VLOOKUP($AY18,参照データ!$D$89:$U$100,18),"")</f>
        <v/>
      </c>
      <c r="AL18" s="170" t="str">
        <f t="shared" si="13"/>
        <v/>
      </c>
      <c r="AM18" s="269"/>
      <c r="AN18" s="413" t="str">
        <f>IF($AM18="○",VLOOKUP($CR18,参照データ!$D$143:$E$150,2),"")</f>
        <v/>
      </c>
      <c r="AO18" s="416"/>
      <c r="AP18" s="366" t="str">
        <f t="shared" si="14"/>
        <v/>
      </c>
      <c r="AQ18" s="465"/>
      <c r="AR18" s="466"/>
      <c r="AT18" s="285" t="s">
        <v>159</v>
      </c>
      <c r="AU18" s="273" t="str">
        <f>IF(D18="","",IF(D18="重複",G17,G18))</f>
        <v/>
      </c>
      <c r="AV18" s="274" t="str">
        <f t="shared" si="16"/>
        <v/>
      </c>
      <c r="AW18" s="226" t="e">
        <f t="shared" si="17"/>
        <v>#VALUE!</v>
      </c>
      <c r="AX18" t="e">
        <f>IF(AND(AW18&gt;=参照データ!$C$71,AW18&lt;=参照データ!$C$69),1,IF(AND(AW18&gt;=参照データ!$C$74,AW18&lt;=参照データ!$C$72),2,IF(AND(AW18&gt;=参照データ!$C$77,AW18&lt;=参照データ!$C$75),3,IF(AND(AW18&gt;=参照データ!$C$80,AW18&lt;=参照データ!$C$78),4,IF(AND(AW18&gt;=参照データ!$C$83,AW18&lt;=参照データ!$C$81),5,IF(AW18&lt;=参照データ!$C$84,6,0))))))</f>
        <v>#VALUE!</v>
      </c>
      <c r="AY18" t="e">
        <f>IF(AV18="男子",VLOOKUP(AX18,参照データ!$C$95:$D$100,2),AX18)</f>
        <v>#VALUE!</v>
      </c>
      <c r="AZ18" s="241" t="str">
        <f t="shared" si="2"/>
        <v/>
      </c>
      <c r="BA18" s="219" t="str">
        <f>IF($J18="○",VLOOKUP($AZ18,参照データ!$B$24:$G$41,3,0),"")</f>
        <v/>
      </c>
      <c r="BB18" s="220" t="str">
        <f>IF($K18="○",VLOOKUP($AZ18,参照データ!$B$24:$G$41,4,0),"")</f>
        <v/>
      </c>
      <c r="BC18" s="220" t="str">
        <f>IF($L18="○",VLOOKUP($AZ18,参照データ!$B$24:$G$41,5,0),"")</f>
        <v/>
      </c>
      <c r="BD18" s="220" t="str">
        <f>IF($M18="○",VLOOKUP($AZ18,参照データ!$B$24:$G$41,6,0),"")</f>
        <v/>
      </c>
      <c r="BE18" s="220" t="str">
        <f>IF($N18="○",VLOOKUP($AZ18,参照データ!$B$24:$H$41,7,0),"")</f>
        <v/>
      </c>
      <c r="BF18" s="221" t="str">
        <f>IF($O18="○",VLOOKUP($AZ18,参照データ!$B$24:$I$41,8,0),"")</f>
        <v/>
      </c>
      <c r="BG18" s="344" t="str">
        <f t="shared" si="18"/>
        <v/>
      </c>
      <c r="BH18" s="242" t="str">
        <f>IF($Q18="入門",VLOOKUP($AZ18,参照データ!$B$46:$U$63,3,0),IF($Q18="初級",VLOOKUP($AZ18,参照データ!$B$46:$U$63,4,0),IF($Q18="中級",VLOOKUP($AZ18,参照データ!$B$46:$U$63,5,0),IF($Q18="上級",VLOOKUP($AZ18,参照データ!$B$46:$U$63,6,0),""))))</f>
        <v/>
      </c>
      <c r="BI18" s="242" t="str">
        <f>IF($R18="初級",VLOOKUP($AZ18,参照データ!$B$46:$U$63,7,0),IF($R18="中級",VLOOKUP($AZ18,参照データ!$B$46:$U$63,8,0),IF($R18="上級",VLOOKUP($AZ18,参照データ!$B$46:$U$63,9,0),"")))</f>
        <v/>
      </c>
      <c r="BJ18" s="242" t="str">
        <f>IF($S18="初級",VLOOKUP($AZ18,参照データ!$B$46:$U$63,10,0),IF($S18="上級",VLOOKUP($AZ18,参照データ!$B$46:$U$63,11,0),""))</f>
        <v/>
      </c>
      <c r="BK18" s="242" t="str">
        <f>IF($T18="初級",VLOOKUP($AZ18,参照データ!$B$46:$U$63,15,0),IF($T18="中級",VLOOKUP($AZ18,参照データ!$B$46:$U$63,16,0),IF($T18="上級",VLOOKUP($AZ18,参照データ!$B$46:$U$63,17,0),"")))</f>
        <v/>
      </c>
      <c r="BL18" s="242" t="str">
        <f>IF($U18="初級",VLOOKUP($AZ18,参照データ!$B$46:$U$63,12,0),IF($U18="中級",VLOOKUP($AZ18,参照データ!$B$46:$U$63,13,0),IF($U18="上級",VLOOKUP($AZ18,参照データ!$B$46:$U$63,14,0),"")))</f>
        <v/>
      </c>
      <c r="BM18" s="21" t="str">
        <f t="shared" si="19"/>
        <v/>
      </c>
      <c r="BN18" s="21" t="str">
        <f>IF($V18="初級",VLOOKUP($AZ18,参照データ!$B$46:$U$63,18,0),IF($V18="中級",VLOOKUP($AZ18,参照データ!$B$46:$U$63,19,0),IF($V18="上級",VLOOKUP($AZ18,参照データ!$B$46:$U$63,20,0),"")))</f>
        <v/>
      </c>
      <c r="BO18" s="587"/>
      <c r="BP18" s="250" t="s">
        <v>245</v>
      </c>
      <c r="BQ18" s="251" t="str">
        <f t="shared" si="20"/>
        <v/>
      </c>
      <c r="BR18" s="595"/>
      <c r="BT18" s="241" t="e">
        <f t="shared" si="3"/>
        <v>#VALUE!</v>
      </c>
      <c r="BU18" s="245" t="str">
        <f>IF($X18="○",VLOOKUP($BT18,参照データ!$D$89:$F$100,3,0),"")</f>
        <v/>
      </c>
      <c r="BV18" s="246" t="str">
        <f t="shared" si="4"/>
        <v/>
      </c>
      <c r="BW18" s="245" t="str">
        <f>IF($Z18="○",VLOOKUP($BT18,参照データ!$D$89:$J$100,7,0),"")</f>
        <v/>
      </c>
      <c r="BX18" s="246" t="str">
        <f t="shared" si="5"/>
        <v/>
      </c>
      <c r="BY18" s="245" t="str">
        <f>IF($AB18="○",VLOOKUP($BT18,参照データ!$D$89:$N$100,11,0),"")</f>
        <v/>
      </c>
      <c r="BZ18" s="246" t="str">
        <f t="shared" si="6"/>
        <v/>
      </c>
      <c r="CA18" s="245" t="str">
        <f>IF($AD18="○",VLOOKUP($BT18,参照データ!$D$89:$T$100,17,0),"")</f>
        <v/>
      </c>
      <c r="CB18" s="246" t="str">
        <f t="shared" si="21"/>
        <v/>
      </c>
      <c r="CC18" s="245" t="str">
        <f>IF($AF18="○",VLOOKUP($BT18,参照データ!$D$89:$T$100,16,0),"")</f>
        <v/>
      </c>
      <c r="CD18" s="246" t="str">
        <f t="shared" si="22"/>
        <v/>
      </c>
      <c r="CE18" s="25">
        <f t="shared" si="23"/>
        <v>0</v>
      </c>
      <c r="CF18" s="312" t="e">
        <f t="shared" si="7"/>
        <v>#N/A</v>
      </c>
      <c r="CG18" s="300" t="str">
        <f t="shared" si="24"/>
        <v/>
      </c>
      <c r="CH18" s="645"/>
      <c r="CI18" s="252" t="s">
        <v>100</v>
      </c>
      <c r="CJ18" s="253" t="e">
        <f t="shared" si="8"/>
        <v>#N/A</v>
      </c>
      <c r="CK18" s="253" t="e">
        <f>VLOOKUP(CJ18,参照データ!$D$89:$R$100,15,0)</f>
        <v>#N/A</v>
      </c>
      <c r="CL18" s="647"/>
      <c r="CM18" s="288" t="e">
        <f>CM17</f>
        <v>#N/A</v>
      </c>
      <c r="CN18" s="290" t="str">
        <f>IF($AJ18="○",VLOOKUP($BT18,参照データ!$D$89:$V$100,19,0),"")</f>
        <v/>
      </c>
      <c r="CO18" s="246" t="str">
        <f t="shared" si="25"/>
        <v/>
      </c>
      <c r="CQ18" t="e">
        <f>IF(AND($AW18&gt;=参照データ!$C$132,$AW18&lt;=参照データ!$C$130),1,IF(AND($AW18&gt;=参照データ!$C$135,$AW18&lt;=参照データ!$C$133),2,IF(AND($AW18&gt;=参照データ!$C$138,$AW18&lt;=参照データ!$C$136),3,IF($AW18&lt;=参照データ!$C$139,4,0))))</f>
        <v>#VALUE!</v>
      </c>
      <c r="CR18" t="e">
        <f>IF($AV18="男子",VLOOKUP(CQ18,参照データ!$C$143:$D$150,2),CQ18)</f>
        <v>#VALUE!</v>
      </c>
      <c r="CS18" s="388" t="e">
        <f t="shared" si="26"/>
        <v>#VALUE!</v>
      </c>
      <c r="CT18" s="389" t="str">
        <f>IF($AM18="○",VLOOKUP($CS18,参照データ!$D$143:$F$150,3,0),"")</f>
        <v/>
      </c>
      <c r="CU18" s="390" t="str">
        <f t="shared" si="27"/>
        <v/>
      </c>
      <c r="CV18">
        <f t="shared" si="39"/>
        <v>0</v>
      </c>
      <c r="CW18" s="312" t="e">
        <f t="shared" si="9"/>
        <v>#N/A</v>
      </c>
      <c r="CX18" s="391" t="str">
        <f t="shared" si="28"/>
        <v/>
      </c>
      <c r="CY18" s="721"/>
      <c r="CZ18" s="395" t="s">
        <v>100</v>
      </c>
      <c r="DA18" s="396" t="e">
        <f t="shared" si="40"/>
        <v>#N/A</v>
      </c>
      <c r="DB18" s="396" t="e">
        <f>VLOOKUP(DA18,参照データ!$D$143:$J$150,7,0)</f>
        <v>#N/A</v>
      </c>
      <c r="DC18" s="723"/>
      <c r="DD18" s="397" t="e">
        <f t="shared" ref="DD18" si="44">DD17</f>
        <v>#N/A</v>
      </c>
      <c r="DF18" s="254">
        <f>(COUNTIF($J18:$O18,"&lt;&gt;"))*参照データ!$D$3</f>
        <v>0</v>
      </c>
      <c r="DG18" s="297">
        <f t="shared" si="29"/>
        <v>0</v>
      </c>
      <c r="DH18" s="157" cm="1">
        <f t="array" ref="DH18">(SUM(COUNTIF($Q18:$U18,{"入門","初級"}))*3000)+(SUM(COUNTIF($Q18:$U18,{"中級","上級"})*3500))</f>
        <v>0</v>
      </c>
      <c r="DI18" s="157">
        <f>IFERROR(VLOOKUP(V18,参照データ!$G$3:$I$6,3,0),0)</f>
        <v>0</v>
      </c>
      <c r="DJ18" s="469">
        <f t="shared" si="30"/>
        <v>0</v>
      </c>
      <c r="DK18" s="157">
        <f t="shared" si="31"/>
        <v>0</v>
      </c>
      <c r="DL18" s="157">
        <f t="shared" si="32"/>
        <v>0</v>
      </c>
      <c r="DM18" s="157">
        <f>(COUNTIF($AM18,"○"))*参照データ!$H$13</f>
        <v>0</v>
      </c>
      <c r="DN18" s="157">
        <f>(IF($AO18&gt;0,参照データ!$I$14,0))</f>
        <v>0</v>
      </c>
      <c r="DO18" s="249">
        <f t="array" ref="DO18">SUM(IF(ISERROR($DF18:$DN18),0,($DF18:$DN18)))</f>
        <v>0</v>
      </c>
      <c r="DP18" s="157"/>
      <c r="DQ18" s="157">
        <f t="shared" si="33"/>
        <v>0</v>
      </c>
      <c r="DR18" s="157">
        <f t="shared" si="34"/>
        <v>0</v>
      </c>
      <c r="DS18" s="157">
        <f t="shared" si="35"/>
        <v>0</v>
      </c>
      <c r="DT18" s="157">
        <f t="shared" si="36"/>
        <v>0</v>
      </c>
      <c r="DU18" s="157">
        <f t="shared" si="37"/>
        <v>0</v>
      </c>
      <c r="DV18" t="str">
        <f t="shared" si="10"/>
        <v/>
      </c>
    </row>
    <row r="19" spans="1:126" ht="18.75" customHeight="1" x14ac:dyDescent="0.2">
      <c r="A19">
        <v>7</v>
      </c>
      <c r="B19" s="183" t="str">
        <f>IF(D19="","",IF(D19="重複","",COUNTIF(B$13:$B18,"&gt;0")+1))</f>
        <v/>
      </c>
      <c r="C19" s="264"/>
      <c r="D19" s="134"/>
      <c r="E19" s="134"/>
      <c r="F19" s="135"/>
      <c r="G19" s="136"/>
      <c r="H19" s="169">
        <f t="shared" si="11"/>
        <v>0</v>
      </c>
      <c r="I19" s="170" t="str">
        <f t="shared" si="12"/>
        <v/>
      </c>
      <c r="J19" s="138"/>
      <c r="K19" s="138"/>
      <c r="L19" s="138"/>
      <c r="M19" s="139"/>
      <c r="N19" s="146"/>
      <c r="O19" s="141"/>
      <c r="P19" s="336"/>
      <c r="Q19" s="142"/>
      <c r="R19" s="143"/>
      <c r="S19" s="143"/>
      <c r="T19" s="144"/>
      <c r="U19" s="143"/>
      <c r="V19" s="266"/>
      <c r="W19" s="145"/>
      <c r="X19" s="269"/>
      <c r="Y19" s="148" t="str">
        <f>IF($X19="○",VLOOKUP($AY19,参照データ!$D$89:$E$100,2),"")</f>
        <v/>
      </c>
      <c r="Z19" s="271"/>
      <c r="AA19" s="148" t="str">
        <f>IF($Z19="○",VLOOKUP($AY19,参照データ!$D$89:$J$100,6),"")</f>
        <v/>
      </c>
      <c r="AB19" s="271"/>
      <c r="AC19" s="148" t="str">
        <f>IF($AB19="○",VLOOKUP($AY19,参照データ!$D$89:$N$100,10),"")</f>
        <v/>
      </c>
      <c r="AD19" s="271"/>
      <c r="AE19" s="148" t="str">
        <f>IF($AD19="○",VLOOKUP($AY19,参照データ!$D$89:$Q$100,14),"")</f>
        <v/>
      </c>
      <c r="AF19" s="271"/>
      <c r="AG19" s="148" t="str">
        <f>IF($AF19="○",VLOOKUP($AY19,参照データ!$D$89:$Q$100,14),"")</f>
        <v/>
      </c>
      <c r="AH19" s="266"/>
      <c r="AI19" s="370" t="str">
        <f t="shared" si="38"/>
        <v/>
      </c>
      <c r="AJ19" s="498"/>
      <c r="AK19" s="497" t="str">
        <f>IF($AJ19="○",VLOOKUP($AY19,参照データ!$D$89:$U$100,18),"")</f>
        <v/>
      </c>
      <c r="AL19" s="170" t="str">
        <f t="shared" si="13"/>
        <v/>
      </c>
      <c r="AM19" s="269"/>
      <c r="AN19" s="413" t="str">
        <f>IF($AM19="○",VLOOKUP($CR19,参照データ!$D$143:$E$150,2),"")</f>
        <v/>
      </c>
      <c r="AO19" s="416"/>
      <c r="AP19" s="366" t="str">
        <f t="shared" si="14"/>
        <v/>
      </c>
      <c r="AQ19" s="465"/>
      <c r="AR19" s="466"/>
      <c r="AT19" s="285" t="s">
        <v>157</v>
      </c>
      <c r="AU19" s="273" t="str">
        <f t="shared" si="15"/>
        <v/>
      </c>
      <c r="AV19" s="274" t="str">
        <f t="shared" si="16"/>
        <v/>
      </c>
      <c r="AW19" s="226" t="e">
        <f t="shared" si="17"/>
        <v>#VALUE!</v>
      </c>
      <c r="AX19" t="e">
        <f>IF(AND(AW19&gt;=参照データ!$C$71,AW19&lt;=参照データ!$C$69),1,IF(AND(AW19&gt;=参照データ!$C$74,AW19&lt;=参照データ!$C$72),2,IF(AND(AW19&gt;=参照データ!$C$77,AW19&lt;=参照データ!$C$75),3,IF(AND(AW19&gt;=参照データ!$C$80,AW19&lt;=参照データ!$C$78),4,IF(AND(AW19&gt;=参照データ!$C$83,AW19&lt;=参照データ!$C$81),5,IF(AW19&lt;=参照データ!$C$84,6,0))))))</f>
        <v>#VALUE!</v>
      </c>
      <c r="AY19" t="e">
        <f>IF(AV19="男子",VLOOKUP(AX19,参照データ!$C$95:$D$100,2),AX19)</f>
        <v>#VALUE!</v>
      </c>
      <c r="AZ19" s="241" t="str">
        <f t="shared" si="2"/>
        <v/>
      </c>
      <c r="BA19" s="219" t="str">
        <f>IF($J19="○",VLOOKUP($AZ19,参照データ!$B$24:$G$41,3,0),"")</f>
        <v/>
      </c>
      <c r="BB19" s="220" t="str">
        <f>IF($K19="○",VLOOKUP($AZ19,参照データ!$B$24:$G$41,4,0),"")</f>
        <v/>
      </c>
      <c r="BC19" s="220" t="str">
        <f>IF($L19="○",VLOOKUP($AZ19,参照データ!$B$24:$G$41,5,0),"")</f>
        <v/>
      </c>
      <c r="BD19" s="220" t="str">
        <f>IF($M19="○",VLOOKUP($AZ19,参照データ!$B$24:$G$41,6,0),"")</f>
        <v/>
      </c>
      <c r="BE19" s="220" t="str">
        <f>IF($N19="○",VLOOKUP($AZ19,参照データ!$B$24:$H$41,7,0),"")</f>
        <v/>
      </c>
      <c r="BF19" s="221" t="str">
        <f>IF($O19="○",VLOOKUP($AZ19,参照データ!$B$24:$I$41,8,0),"")</f>
        <v/>
      </c>
      <c r="BG19" s="344" t="str">
        <f t="shared" si="18"/>
        <v/>
      </c>
      <c r="BH19" s="242" t="str">
        <f>IF($Q19="入門",VLOOKUP($AZ19,参照データ!$B$46:$U$63,3,0),IF($Q19="初級",VLOOKUP($AZ19,参照データ!$B$46:$U$63,4,0),IF($Q19="中級",VLOOKUP($AZ19,参照データ!$B$46:$U$63,5,0),IF($Q19="上級",VLOOKUP($AZ19,参照データ!$B$46:$U$63,6,0),""))))</f>
        <v/>
      </c>
      <c r="BI19" s="242" t="str">
        <f>IF($R19="初級",VLOOKUP($AZ19,参照データ!$B$46:$U$63,7,0),IF($R19="中級",VLOOKUP($AZ19,参照データ!$B$46:$U$63,8,0),IF($R19="上級",VLOOKUP($AZ19,参照データ!$B$46:$U$63,9,0),"")))</f>
        <v/>
      </c>
      <c r="BJ19" s="242" t="str">
        <f>IF($S19="初級",VLOOKUP($AZ19,参照データ!$B$46:$U$63,10,0),IF($S19="上級",VLOOKUP($AZ19,参照データ!$B$46:$U$63,11,0),""))</f>
        <v/>
      </c>
      <c r="BK19" s="242" t="str">
        <f>IF($T19="初級",VLOOKUP($AZ19,参照データ!$B$46:$U$63,15,0),IF($T19="中級",VLOOKUP($AZ19,参照データ!$B$46:$U$63,16,0),IF($T19="上級",VLOOKUP($AZ19,参照データ!$B$46:$U$63,17,0),"")))</f>
        <v/>
      </c>
      <c r="BL19" s="242" t="str">
        <f>IF($U19="初級",VLOOKUP($AZ19,参照データ!$B$46:$U$63,12,0),IF($U19="中級",VLOOKUP($AZ19,参照データ!$B$46:$U$63,13,0),IF($U19="上級",VLOOKUP($AZ19,参照データ!$B$46:$U$63,14,0),"")))</f>
        <v/>
      </c>
      <c r="BM19" s="21" t="str">
        <f t="shared" si="19"/>
        <v/>
      </c>
      <c r="BN19" s="21" t="str">
        <f>IF($V19="初級",VLOOKUP($AZ19,参照データ!$B$46:$U$63,18,0),IF($V19="中級",VLOOKUP($AZ19,参照データ!$B$46:$U$63,19,0),IF($V19="上級",VLOOKUP($AZ19,参照データ!$B$46:$U$63,20,0),"")))</f>
        <v/>
      </c>
      <c r="BO19" s="604">
        <v>4</v>
      </c>
      <c r="BP19" s="255" t="s">
        <v>246</v>
      </c>
      <c r="BQ19" s="251" t="str">
        <f t="shared" si="20"/>
        <v/>
      </c>
      <c r="BR19" s="594" t="str">
        <f>IF(OR($BQ19="",$BQ20=""),"",IF($BQ19&gt;$BQ20,$BQ19,$BQ20))</f>
        <v/>
      </c>
      <c r="BT19" s="241" t="e">
        <f t="shared" si="3"/>
        <v>#VALUE!</v>
      </c>
      <c r="BU19" s="245" t="str">
        <f>IF($X19="○",VLOOKUP($BT19,参照データ!$D$89:$F$100,3,0),"")</f>
        <v/>
      </c>
      <c r="BV19" s="246" t="str">
        <f t="shared" si="4"/>
        <v/>
      </c>
      <c r="BW19" s="245" t="str">
        <f>IF($Z19="○",VLOOKUP($BT19,参照データ!$D$89:$J$100,7,0),"")</f>
        <v/>
      </c>
      <c r="BX19" s="246" t="str">
        <f t="shared" si="5"/>
        <v/>
      </c>
      <c r="BY19" s="245" t="str">
        <f>IF($AB19="○",VLOOKUP($BT19,参照データ!$D$89:$N$100,11,0),"")</f>
        <v/>
      </c>
      <c r="BZ19" s="246" t="str">
        <f t="shared" si="6"/>
        <v/>
      </c>
      <c r="CA19" s="245" t="str">
        <f>IF($AD19="○",VLOOKUP($BT19,参照データ!$D$89:$T$100,17,0),"")</f>
        <v/>
      </c>
      <c r="CB19" s="246" t="str">
        <f t="shared" si="21"/>
        <v/>
      </c>
      <c r="CC19" s="245" t="str">
        <f>IF($AF19="○",VLOOKUP($BT19,参照データ!$D$89:$T$100,16,0),"")</f>
        <v/>
      </c>
      <c r="CD19" s="246" t="str">
        <f t="shared" si="22"/>
        <v/>
      </c>
      <c r="CE19" s="25">
        <f t="shared" si="23"/>
        <v>0</v>
      </c>
      <c r="CF19" s="312" t="e">
        <f t="shared" si="7"/>
        <v>#N/A</v>
      </c>
      <c r="CG19" s="300" t="str">
        <f t="shared" si="24"/>
        <v/>
      </c>
      <c r="CH19" s="648">
        <v>4</v>
      </c>
      <c r="CI19" s="256" t="s">
        <v>101</v>
      </c>
      <c r="CJ19" s="257" t="e">
        <f t="shared" si="8"/>
        <v>#N/A</v>
      </c>
      <c r="CK19" s="257" t="e">
        <f>VLOOKUP(CJ19,参照データ!$D$89:$R$100,15,0)</f>
        <v>#N/A</v>
      </c>
      <c r="CL19" s="649" t="e">
        <f>IF(OR($CJ19="",$CJ20=""),"",IF($CJ19&gt;$CJ20,$CK19,$CK20))</f>
        <v>#N/A</v>
      </c>
      <c r="CM19" s="289" t="e">
        <f>INDEX(参照データ!$Q$89:$Q$100,MATCH($CL19,参照データ!$R$89:$R$100,0))</f>
        <v>#N/A</v>
      </c>
      <c r="CN19" s="290" t="str">
        <f>IF($AJ19="○",VLOOKUP($BT19,参照データ!$D$89:$V$100,19,0),"")</f>
        <v/>
      </c>
      <c r="CO19" s="246" t="str">
        <f t="shared" si="25"/>
        <v/>
      </c>
      <c r="CQ19" t="e">
        <f>IF(AND($AW19&gt;=参照データ!$C$132,$AW19&lt;=参照データ!$C$130),1,IF(AND($AW19&gt;=参照データ!$C$135,$AW19&lt;=参照データ!$C$133),2,IF(AND($AW19&gt;=参照データ!$C$138,$AW19&lt;=参照データ!$C$136),3,IF($AW19&lt;=参照データ!$C$139,4,0))))</f>
        <v>#VALUE!</v>
      </c>
      <c r="CR19" t="e">
        <f>IF($AV19="男子",VLOOKUP(CQ19,参照データ!$C$143:$D$150,2),CQ19)</f>
        <v>#VALUE!</v>
      </c>
      <c r="CS19" s="388" t="e">
        <f t="shared" si="26"/>
        <v>#VALUE!</v>
      </c>
      <c r="CT19" s="389" t="str">
        <f>IF($AM19="○",VLOOKUP($CS19,参照データ!$D$143:$F$150,3,0),"")</f>
        <v/>
      </c>
      <c r="CU19" s="390" t="str">
        <f t="shared" si="27"/>
        <v/>
      </c>
      <c r="CV19">
        <f t="shared" si="39"/>
        <v>0</v>
      </c>
      <c r="CW19" s="312" t="e">
        <f t="shared" si="9"/>
        <v>#N/A</v>
      </c>
      <c r="CX19" s="391" t="str">
        <f t="shared" si="28"/>
        <v/>
      </c>
      <c r="CY19" s="724">
        <v>4</v>
      </c>
      <c r="CZ19" s="398" t="s">
        <v>101</v>
      </c>
      <c r="DA19" s="399" t="e">
        <f t="shared" si="40"/>
        <v>#N/A</v>
      </c>
      <c r="DB19" s="399" t="e">
        <f>VLOOKUP(DA19,参照データ!$D$143:$J$150,7,0)</f>
        <v>#N/A</v>
      </c>
      <c r="DC19" s="725" t="e">
        <f t="shared" ref="DC19" si="45">IF(OR($DA19="",$DA20=""),"",IF($DA19&gt;$DA20,$DB19,$DB20))</f>
        <v>#N/A</v>
      </c>
      <c r="DD19" s="400" t="e">
        <f>INDEX(参照データ!$I$143:$I$150,MATCH($DC19,参照データ!$J$143:$J$150,0))</f>
        <v>#N/A</v>
      </c>
      <c r="DF19" s="254">
        <f>(COUNTIF($J19:$O19,"&lt;&gt;"))*参照データ!$D$3</f>
        <v>0</v>
      </c>
      <c r="DG19" s="297">
        <f t="shared" si="29"/>
        <v>0</v>
      </c>
      <c r="DH19" s="157" cm="1">
        <f t="array" ref="DH19">(SUM(COUNTIF($Q19:$U19,{"入門","初級"}))*3000)+(SUM(COUNTIF($Q19:$U19,{"中級","上級"})*3500))</f>
        <v>0</v>
      </c>
      <c r="DI19" s="157">
        <f>IFERROR(VLOOKUP(V19,参照データ!$G$3:$I$6,3,0),0)</f>
        <v>0</v>
      </c>
      <c r="DJ19" s="469">
        <f t="shared" si="30"/>
        <v>0</v>
      </c>
      <c r="DK19" s="157">
        <f t="shared" si="31"/>
        <v>0</v>
      </c>
      <c r="DL19" s="157">
        <f t="shared" si="32"/>
        <v>0</v>
      </c>
      <c r="DM19" s="157">
        <f>(COUNTIF($AM19,"○"))*参照データ!$H$13</f>
        <v>0</v>
      </c>
      <c r="DN19" s="157">
        <f>(IF($AO19&gt;0,参照データ!$I$14,0))</f>
        <v>0</v>
      </c>
      <c r="DO19" s="249">
        <f t="array" ref="DO19">SUM(IF(ISERROR($DF19:$DN19),0,($DF19:$DN19)))</f>
        <v>0</v>
      </c>
      <c r="DP19" s="157"/>
      <c r="DQ19" s="157">
        <f t="shared" si="33"/>
        <v>0</v>
      </c>
      <c r="DR19" s="157">
        <f t="shared" si="34"/>
        <v>0</v>
      </c>
      <c r="DS19" s="157">
        <f t="shared" si="35"/>
        <v>0</v>
      </c>
      <c r="DT19" s="157">
        <f t="shared" si="36"/>
        <v>0</v>
      </c>
      <c r="DU19" s="157">
        <f t="shared" si="37"/>
        <v>0</v>
      </c>
      <c r="DV19" t="str">
        <f t="shared" si="10"/>
        <v/>
      </c>
    </row>
    <row r="20" spans="1:126" ht="18.75" customHeight="1" x14ac:dyDescent="0.2">
      <c r="A20">
        <v>8</v>
      </c>
      <c r="B20" s="183" t="str">
        <f>IF(D20="","",IF(D20="重複","",COUNTIF(B$13:$B19,"&gt;0")+1))</f>
        <v/>
      </c>
      <c r="C20" s="264"/>
      <c r="D20" s="134"/>
      <c r="E20" s="134"/>
      <c r="F20" s="135"/>
      <c r="G20" s="136"/>
      <c r="H20" s="169">
        <f t="shared" si="11"/>
        <v>0</v>
      </c>
      <c r="I20" s="170" t="str">
        <f t="shared" si="12"/>
        <v/>
      </c>
      <c r="J20" s="138"/>
      <c r="K20" s="138"/>
      <c r="L20" s="138"/>
      <c r="M20" s="139"/>
      <c r="N20" s="146"/>
      <c r="O20" s="141"/>
      <c r="P20" s="336"/>
      <c r="Q20" s="142"/>
      <c r="R20" s="143"/>
      <c r="S20" s="143"/>
      <c r="T20" s="144"/>
      <c r="U20" s="143"/>
      <c r="V20" s="266"/>
      <c r="W20" s="145"/>
      <c r="X20" s="269"/>
      <c r="Y20" s="148" t="str">
        <f>IF($X20="○",VLOOKUP($AY20,参照データ!$D$89:$E$100,2),"")</f>
        <v/>
      </c>
      <c r="Z20" s="271"/>
      <c r="AA20" s="148" t="str">
        <f>IF($Z20="○",VLOOKUP($AY20,参照データ!$D$89:$J$100,6),"")</f>
        <v/>
      </c>
      <c r="AB20" s="271"/>
      <c r="AC20" s="148" t="str">
        <f>IF($AB20="○",VLOOKUP($AY20,参照データ!$D$89:$N$100,10),"")</f>
        <v/>
      </c>
      <c r="AD20" s="271"/>
      <c r="AE20" s="148" t="str">
        <f>IF($AD20="○",VLOOKUP($AY20,参照データ!$D$89:$Q$100,14),"")</f>
        <v/>
      </c>
      <c r="AF20" s="271"/>
      <c r="AG20" s="148" t="str">
        <f>IF($AF20="○",VLOOKUP($AY20,参照データ!$D$89:$Q$100,14),"")</f>
        <v/>
      </c>
      <c r="AH20" s="266"/>
      <c r="AI20" s="370" t="str">
        <f t="shared" si="38"/>
        <v/>
      </c>
      <c r="AJ20" s="498"/>
      <c r="AK20" s="497" t="str">
        <f>IF($AJ20="○",VLOOKUP($AY20,参照データ!$D$89:$U$100,18),"")</f>
        <v/>
      </c>
      <c r="AL20" s="170" t="str">
        <f t="shared" si="13"/>
        <v/>
      </c>
      <c r="AM20" s="269"/>
      <c r="AN20" s="413" t="str">
        <f>IF($AM20="○",VLOOKUP($CR20,参照データ!$D$143:$E$150,2),"")</f>
        <v/>
      </c>
      <c r="AO20" s="416"/>
      <c r="AP20" s="366" t="str">
        <f t="shared" si="14"/>
        <v/>
      </c>
      <c r="AQ20" s="465"/>
      <c r="AR20" s="466"/>
      <c r="AT20" s="285" t="s">
        <v>159</v>
      </c>
      <c r="AU20" s="273" t="str">
        <f t="shared" si="15"/>
        <v/>
      </c>
      <c r="AV20" s="274" t="str">
        <f t="shared" si="16"/>
        <v/>
      </c>
      <c r="AW20" s="226" t="e">
        <f t="shared" si="17"/>
        <v>#VALUE!</v>
      </c>
      <c r="AX20" t="e">
        <f>IF(AND(AW20&gt;=参照データ!$C$71,AW20&lt;=参照データ!$C$69),1,IF(AND(AW20&gt;=参照データ!$C$74,AW20&lt;=参照データ!$C$72),2,IF(AND(AW20&gt;=参照データ!$C$77,AW20&lt;=参照データ!$C$75),3,IF(AND(AW20&gt;=参照データ!$C$80,AW20&lt;=参照データ!$C$78),4,IF(AND(AW20&gt;=参照データ!$C$83,AW20&lt;=参照データ!$C$81),5,IF(AW20&lt;=参照データ!$C$84,6,0))))))</f>
        <v>#VALUE!</v>
      </c>
      <c r="AY20" t="e">
        <f>IF(AV20="男子",VLOOKUP(AX20,参照データ!$C$95:$D$100,2),AX20)</f>
        <v>#VALUE!</v>
      </c>
      <c r="AZ20" s="241" t="str">
        <f t="shared" si="2"/>
        <v/>
      </c>
      <c r="BA20" s="219" t="str">
        <f>IF($J20="○",VLOOKUP($AZ20,参照データ!$B$24:$G$41,3,0),"")</f>
        <v/>
      </c>
      <c r="BB20" s="220" t="str">
        <f>IF($K20="○",VLOOKUP($AZ20,参照データ!$B$24:$G$41,4,0),"")</f>
        <v/>
      </c>
      <c r="BC20" s="220" t="str">
        <f>IF($L20="○",VLOOKUP($AZ20,参照データ!$B$24:$G$41,5,0),"")</f>
        <v/>
      </c>
      <c r="BD20" s="220" t="str">
        <f>IF($M20="○",VLOOKUP($AZ20,参照データ!$B$24:$G$41,6,0),"")</f>
        <v/>
      </c>
      <c r="BE20" s="220" t="str">
        <f>IF($N20="○",VLOOKUP($AZ20,参照データ!$B$24:$H$41,7,0),"")</f>
        <v/>
      </c>
      <c r="BF20" s="221" t="str">
        <f>IF($O20="○",VLOOKUP($AZ20,参照データ!$B$24:$I$41,8,0),"")</f>
        <v/>
      </c>
      <c r="BG20" s="344" t="str">
        <f t="shared" si="18"/>
        <v/>
      </c>
      <c r="BH20" s="242" t="str">
        <f>IF($Q20="入門",VLOOKUP($AZ20,参照データ!$B$46:$U$63,3,0),IF($Q20="初級",VLOOKUP($AZ20,参照データ!$B$46:$U$63,4,0),IF($Q20="中級",VLOOKUP($AZ20,参照データ!$B$46:$U$63,5,0),IF($Q20="上級",VLOOKUP($AZ20,参照データ!$B$46:$U$63,6,0),""))))</f>
        <v/>
      </c>
      <c r="BI20" s="242" t="str">
        <f>IF($R20="初級",VLOOKUP($AZ20,参照データ!$B$46:$U$63,7,0),IF($R20="中級",VLOOKUP($AZ20,参照データ!$B$46:$U$63,8,0),IF($R20="上級",VLOOKUP($AZ20,参照データ!$B$46:$U$63,9,0),"")))</f>
        <v/>
      </c>
      <c r="BJ20" s="242" t="str">
        <f>IF($S20="初級",VLOOKUP($AZ20,参照データ!$B$46:$U$63,10,0),IF($S20="上級",VLOOKUP($AZ20,参照データ!$B$46:$U$63,11,0),""))</f>
        <v/>
      </c>
      <c r="BK20" s="242" t="str">
        <f>IF($T20="初級",VLOOKUP($AZ20,参照データ!$B$46:$U$63,15,0),IF($T20="中級",VLOOKUP($AZ20,参照データ!$B$46:$U$63,16,0),IF($T20="上級",VLOOKUP($AZ20,参照データ!$B$46:$U$63,17,0),"")))</f>
        <v/>
      </c>
      <c r="BL20" s="242" t="str">
        <f>IF($U20="初級",VLOOKUP($AZ20,参照データ!$B$46:$U$63,12,0),IF($U20="中級",VLOOKUP($AZ20,参照データ!$B$46:$U$63,13,0),IF($U20="上級",VLOOKUP($AZ20,参照データ!$B$46:$U$63,14,0),"")))</f>
        <v/>
      </c>
      <c r="BM20" s="21" t="str">
        <f t="shared" si="19"/>
        <v/>
      </c>
      <c r="BN20" s="21" t="str">
        <f>IF($V20="初級",VLOOKUP($AZ20,参照データ!$B$46:$U$63,18,0),IF($V20="中級",VLOOKUP($AZ20,参照データ!$B$46:$U$63,19,0),IF($V20="上級",VLOOKUP($AZ20,参照データ!$B$46:$U$63,20,0),"")))</f>
        <v/>
      </c>
      <c r="BO20" s="587"/>
      <c r="BP20" s="250" t="s">
        <v>247</v>
      </c>
      <c r="BQ20" s="251" t="str">
        <f t="shared" si="20"/>
        <v/>
      </c>
      <c r="BR20" s="595"/>
      <c r="BT20" s="241" t="e">
        <f t="shared" si="3"/>
        <v>#VALUE!</v>
      </c>
      <c r="BU20" s="245" t="str">
        <f>IF($X20="○",VLOOKUP($BT20,参照データ!$D$89:$F$100,3,0),"")</f>
        <v/>
      </c>
      <c r="BV20" s="246" t="str">
        <f t="shared" si="4"/>
        <v/>
      </c>
      <c r="BW20" s="245" t="str">
        <f>IF($Z20="○",VLOOKUP($BT20,参照データ!$D$89:$J$100,7,0),"")</f>
        <v/>
      </c>
      <c r="BX20" s="246" t="str">
        <f t="shared" si="5"/>
        <v/>
      </c>
      <c r="BY20" s="245" t="str">
        <f>IF($AB20="○",VLOOKUP($BT20,参照データ!$D$89:$N$100,11,0),"")</f>
        <v/>
      </c>
      <c r="BZ20" s="246" t="str">
        <f t="shared" si="6"/>
        <v/>
      </c>
      <c r="CA20" s="245" t="str">
        <f>IF($AD20="○",VLOOKUP($BT20,参照データ!$D$89:$T$100,17,0),"")</f>
        <v/>
      </c>
      <c r="CB20" s="246" t="str">
        <f t="shared" si="21"/>
        <v/>
      </c>
      <c r="CC20" s="245" t="str">
        <f>IF($AF20="○",VLOOKUP($BT20,参照データ!$D$89:$T$100,16,0),"")</f>
        <v/>
      </c>
      <c r="CD20" s="246" t="str">
        <f t="shared" si="22"/>
        <v/>
      </c>
      <c r="CE20" s="25">
        <f t="shared" si="23"/>
        <v>0</v>
      </c>
      <c r="CF20" s="312" t="e">
        <f t="shared" si="7"/>
        <v>#N/A</v>
      </c>
      <c r="CG20" s="300" t="str">
        <f t="shared" si="24"/>
        <v/>
      </c>
      <c r="CH20" s="645"/>
      <c r="CI20" s="252" t="s">
        <v>102</v>
      </c>
      <c r="CJ20" s="253" t="e">
        <f t="shared" si="8"/>
        <v>#N/A</v>
      </c>
      <c r="CK20" s="253" t="e">
        <f>VLOOKUP(CJ20,参照データ!$D$89:$R$100,15,0)</f>
        <v>#N/A</v>
      </c>
      <c r="CL20" s="647"/>
      <c r="CM20" s="288" t="e">
        <f>CM19</f>
        <v>#N/A</v>
      </c>
      <c r="CN20" s="290" t="str">
        <f>IF($AJ20="○",VLOOKUP($BT20,参照データ!$D$89:$V$100,19,0),"")</f>
        <v/>
      </c>
      <c r="CO20" s="246" t="str">
        <f t="shared" si="25"/>
        <v/>
      </c>
      <c r="CQ20" t="e">
        <f>IF(AND($AW20&gt;=参照データ!$C$132,$AW20&lt;=参照データ!$C$130),1,IF(AND($AW20&gt;=参照データ!$C$135,$AW20&lt;=参照データ!$C$133),2,IF(AND($AW20&gt;=参照データ!$C$138,$AW20&lt;=参照データ!$C$136),3,IF($AW20&lt;=参照データ!$C$139,4,0))))</f>
        <v>#VALUE!</v>
      </c>
      <c r="CR20" t="e">
        <f>IF($AV20="男子",VLOOKUP(CQ20,参照データ!$C$143:$D$150,2),CQ20)</f>
        <v>#VALUE!</v>
      </c>
      <c r="CS20" s="388" t="e">
        <f t="shared" si="26"/>
        <v>#VALUE!</v>
      </c>
      <c r="CT20" s="389" t="str">
        <f>IF($AM20="○",VLOOKUP($CS20,参照データ!$D$143:$F$150,3,0),"")</f>
        <v/>
      </c>
      <c r="CU20" s="390" t="str">
        <f t="shared" si="27"/>
        <v/>
      </c>
      <c r="CV20">
        <f t="shared" si="39"/>
        <v>0</v>
      </c>
      <c r="CW20" s="312" t="e">
        <f t="shared" si="9"/>
        <v>#N/A</v>
      </c>
      <c r="CX20" s="391" t="str">
        <f t="shared" si="28"/>
        <v/>
      </c>
      <c r="CY20" s="721"/>
      <c r="CZ20" s="395" t="s">
        <v>102</v>
      </c>
      <c r="DA20" s="396" t="e">
        <f t="shared" si="40"/>
        <v>#N/A</v>
      </c>
      <c r="DB20" s="396" t="e">
        <f>VLOOKUP(DA20,参照データ!$D$143:$J$150,7,0)</f>
        <v>#N/A</v>
      </c>
      <c r="DC20" s="723"/>
      <c r="DD20" s="397" t="e">
        <f t="shared" ref="DD20" si="46">DD19</f>
        <v>#N/A</v>
      </c>
      <c r="DF20" s="254">
        <f>(COUNTIF($J20:$O20,"&lt;&gt;"))*参照データ!$D$3</f>
        <v>0</v>
      </c>
      <c r="DG20" s="297">
        <f t="shared" si="29"/>
        <v>0</v>
      </c>
      <c r="DH20" s="157" cm="1">
        <f t="array" ref="DH20">(SUM(COUNTIF($Q20:$U20,{"入門","初級"}))*3000)+(SUM(COUNTIF($Q20:$U20,{"中級","上級"})*3500))</f>
        <v>0</v>
      </c>
      <c r="DI20" s="157">
        <f>IFERROR(VLOOKUP(V20,参照データ!$G$3:$I$6,3,0),0)</f>
        <v>0</v>
      </c>
      <c r="DJ20" s="469">
        <f t="shared" si="30"/>
        <v>0</v>
      </c>
      <c r="DK20" s="157">
        <f t="shared" si="31"/>
        <v>0</v>
      </c>
      <c r="DL20" s="157">
        <f t="shared" si="32"/>
        <v>0</v>
      </c>
      <c r="DM20" s="157">
        <f>(COUNTIF($AM20,"○"))*参照データ!$H$13</f>
        <v>0</v>
      </c>
      <c r="DN20" s="157">
        <f>(IF($AO20&gt;0,参照データ!$I$14,0))</f>
        <v>0</v>
      </c>
      <c r="DO20" s="249">
        <f t="array" ref="DO20">SUM(IF(ISERROR($DF20:$DN20),0,($DF20:$DN20)))</f>
        <v>0</v>
      </c>
      <c r="DP20" s="157"/>
      <c r="DQ20" s="157">
        <f t="shared" si="33"/>
        <v>0</v>
      </c>
      <c r="DR20" s="157">
        <f t="shared" si="34"/>
        <v>0</v>
      </c>
      <c r="DS20" s="157">
        <f t="shared" si="35"/>
        <v>0</v>
      </c>
      <c r="DT20" s="157">
        <f t="shared" si="36"/>
        <v>0</v>
      </c>
      <c r="DU20" s="157">
        <f t="shared" si="37"/>
        <v>0</v>
      </c>
      <c r="DV20" t="str">
        <f t="shared" si="10"/>
        <v/>
      </c>
    </row>
    <row r="21" spans="1:126" ht="18.75" customHeight="1" x14ac:dyDescent="0.2">
      <c r="A21">
        <v>9</v>
      </c>
      <c r="B21" s="183" t="str">
        <f>IF(D21="","",IF(D21="重複","",COUNTIF(B$13:$B20,"&gt;0")+1))</f>
        <v/>
      </c>
      <c r="C21" s="264"/>
      <c r="D21" s="134"/>
      <c r="E21" s="134"/>
      <c r="F21" s="135"/>
      <c r="G21" s="136"/>
      <c r="H21" s="169">
        <f t="shared" si="11"/>
        <v>0</v>
      </c>
      <c r="I21" s="170" t="str">
        <f t="shared" si="12"/>
        <v/>
      </c>
      <c r="J21" s="138"/>
      <c r="K21" s="138"/>
      <c r="L21" s="138"/>
      <c r="M21" s="139"/>
      <c r="N21" s="146"/>
      <c r="O21" s="141"/>
      <c r="P21" s="336"/>
      <c r="Q21" s="142"/>
      <c r="R21" s="143"/>
      <c r="S21" s="143"/>
      <c r="T21" s="144"/>
      <c r="U21" s="143"/>
      <c r="V21" s="266"/>
      <c r="W21" s="145"/>
      <c r="X21" s="269"/>
      <c r="Y21" s="148" t="str">
        <f>IF($X21="○",VLOOKUP($AY21,参照データ!$D$89:$E$100,2),"")</f>
        <v/>
      </c>
      <c r="Z21" s="271"/>
      <c r="AA21" s="148" t="str">
        <f>IF($Z21="○",VLOOKUP($AY21,参照データ!$D$89:$J$100,6),"")</f>
        <v/>
      </c>
      <c r="AB21" s="271"/>
      <c r="AC21" s="148" t="str">
        <f>IF($AB21="○",VLOOKUP($AY21,参照データ!$D$89:$N$100,10),"")</f>
        <v/>
      </c>
      <c r="AD21" s="271"/>
      <c r="AE21" s="148" t="str">
        <f>IF($AD21="○",VLOOKUP($AY21,参照データ!$D$89:$Q$100,14),"")</f>
        <v/>
      </c>
      <c r="AF21" s="271"/>
      <c r="AG21" s="148" t="str">
        <f>IF($AF21="○",VLOOKUP($AY21,参照データ!$D$89:$Q$100,14),"")</f>
        <v/>
      </c>
      <c r="AH21" s="266"/>
      <c r="AI21" s="370" t="str">
        <f t="shared" si="38"/>
        <v/>
      </c>
      <c r="AJ21" s="498"/>
      <c r="AK21" s="497" t="str">
        <f>IF($AJ21="○",VLOOKUP($AY21,参照データ!$D$89:$U$100,18),"")</f>
        <v/>
      </c>
      <c r="AL21" s="170" t="str">
        <f t="shared" si="13"/>
        <v/>
      </c>
      <c r="AM21" s="269"/>
      <c r="AN21" s="413" t="str">
        <f>IF($AM21="○",VLOOKUP($CR21,参照データ!$D$143:$E$150,2),"")</f>
        <v/>
      </c>
      <c r="AO21" s="416"/>
      <c r="AP21" s="366" t="str">
        <f t="shared" si="14"/>
        <v/>
      </c>
      <c r="AQ21" s="465"/>
      <c r="AR21" s="466"/>
      <c r="AT21" s="285" t="s">
        <v>162</v>
      </c>
      <c r="AU21" s="273" t="str">
        <f>IF(D21="","",IF(D21="重複",G20,G21))</f>
        <v/>
      </c>
      <c r="AV21" s="274" t="str">
        <f t="shared" si="16"/>
        <v/>
      </c>
      <c r="AW21" s="226" t="e">
        <f t="shared" si="17"/>
        <v>#VALUE!</v>
      </c>
      <c r="AX21" t="e">
        <f>IF(AND(AW21&gt;=参照データ!$C$71,AW21&lt;=参照データ!$C$69),1,IF(AND(AW21&gt;=参照データ!$C$74,AW21&lt;=参照データ!$C$72),2,IF(AND(AW21&gt;=参照データ!$C$77,AW21&lt;=参照データ!$C$75),3,IF(AND(AW21&gt;=参照データ!$C$80,AW21&lt;=参照データ!$C$78),4,IF(AND(AW21&gt;=参照データ!$C$83,AW21&lt;=参照データ!$C$81),5,IF(AW21&lt;=参照データ!$C$84,6,0))))))</f>
        <v>#VALUE!</v>
      </c>
      <c r="AY21" t="e">
        <f>IF(AV21="男子",VLOOKUP(AX21,参照データ!$C$95:$D$100,2),AX21)</f>
        <v>#VALUE!</v>
      </c>
      <c r="AZ21" s="241" t="str">
        <f t="shared" si="2"/>
        <v/>
      </c>
      <c r="BA21" s="219" t="str">
        <f>IF($J21="○",VLOOKUP($AZ21,参照データ!$B$24:$G$41,3,0),"")</f>
        <v/>
      </c>
      <c r="BB21" s="220" t="str">
        <f>IF($K21="○",VLOOKUP($AZ21,参照データ!$B$24:$G$41,4,0),"")</f>
        <v/>
      </c>
      <c r="BC21" s="220" t="str">
        <f>IF($L21="○",VLOOKUP($AZ21,参照データ!$B$24:$G$41,5,0),"")</f>
        <v/>
      </c>
      <c r="BD21" s="220" t="str">
        <f>IF($M21="○",VLOOKUP($AZ21,参照データ!$B$24:$G$41,6,0),"")</f>
        <v/>
      </c>
      <c r="BE21" s="220" t="str">
        <f>IF($N21="○",VLOOKUP($AZ21,参照データ!$B$24:$H$41,7,0),"")</f>
        <v/>
      </c>
      <c r="BF21" s="221" t="str">
        <f>IF($O21="○",VLOOKUP($AZ21,参照データ!$B$24:$I$41,8,0),"")</f>
        <v/>
      </c>
      <c r="BG21" s="344" t="str">
        <f t="shared" si="18"/>
        <v/>
      </c>
      <c r="BH21" s="242" t="str">
        <f>IF($Q21="入門",VLOOKUP($AZ21,参照データ!$B$46:$U$63,3,0),IF($Q21="初級",VLOOKUP($AZ21,参照データ!$B$46:$U$63,4,0),IF($Q21="中級",VLOOKUP($AZ21,参照データ!$B$46:$U$63,5,0),IF($Q21="上級",VLOOKUP($AZ21,参照データ!$B$46:$U$63,6,0),""))))</f>
        <v/>
      </c>
      <c r="BI21" s="242" t="str">
        <f>IF($R21="初級",VLOOKUP($AZ21,参照データ!$B$46:$U$63,7,0),IF($R21="中級",VLOOKUP($AZ21,参照データ!$B$46:$U$63,8,0),IF($R21="上級",VLOOKUP($AZ21,参照データ!$B$46:$U$63,9,0),"")))</f>
        <v/>
      </c>
      <c r="BJ21" s="242" t="str">
        <f>IF($S21="初級",VLOOKUP($AZ21,参照データ!$B$46:$U$63,10,0),IF($S21="上級",VLOOKUP($AZ21,参照データ!$B$46:$U$63,11,0),""))</f>
        <v/>
      </c>
      <c r="BK21" s="242" t="str">
        <f>IF($T21="初級",VLOOKUP($AZ21,参照データ!$B$46:$U$63,15,0),IF($T21="中級",VLOOKUP($AZ21,参照データ!$B$46:$U$63,16,0),IF($T21="上級",VLOOKUP($AZ21,参照データ!$B$46:$U$63,17,0),"")))</f>
        <v/>
      </c>
      <c r="BL21" s="242" t="str">
        <f>IF($U21="初級",VLOOKUP($AZ21,参照データ!$B$46:$U$63,12,0),IF($U21="中級",VLOOKUP($AZ21,参照データ!$B$46:$U$63,13,0),IF($U21="上級",VLOOKUP($AZ21,参照データ!$B$46:$U$63,14,0),"")))</f>
        <v/>
      </c>
      <c r="BM21" s="21" t="str">
        <f t="shared" si="19"/>
        <v/>
      </c>
      <c r="BN21" s="21" t="str">
        <f>IF($V21="初級",VLOOKUP($AZ21,参照データ!$B$46:$U$63,18,0),IF($V21="中級",VLOOKUP($AZ21,参照データ!$B$46:$U$63,19,0),IF($V21="上級",VLOOKUP($AZ21,参照データ!$B$46:$U$63,20,0),"")))</f>
        <v/>
      </c>
      <c r="BO21" s="604">
        <v>5</v>
      </c>
      <c r="BP21" s="255" t="s">
        <v>248</v>
      </c>
      <c r="BQ21" s="251" t="str">
        <f t="shared" si="20"/>
        <v/>
      </c>
      <c r="BR21" s="594" t="str">
        <f>IF(OR($BQ21="",$BQ22=""),"",IF($BQ21&gt;$BQ22,$BQ21,$BQ22))</f>
        <v/>
      </c>
      <c r="BT21" s="241" t="e">
        <f t="shared" si="3"/>
        <v>#VALUE!</v>
      </c>
      <c r="BU21" s="245" t="str">
        <f>IF($X21="○",VLOOKUP($BT21,参照データ!$D$89:$F$100,3,0),"")</f>
        <v/>
      </c>
      <c r="BV21" s="246" t="str">
        <f t="shared" si="4"/>
        <v/>
      </c>
      <c r="BW21" s="245" t="str">
        <f>IF($Z21="○",VLOOKUP($BT21,参照データ!$D$89:$J$100,7,0),"")</f>
        <v/>
      </c>
      <c r="BX21" s="246" t="str">
        <f t="shared" si="5"/>
        <v/>
      </c>
      <c r="BY21" s="245" t="str">
        <f>IF($AB21="○",VLOOKUP($BT21,参照データ!$D$89:$N$100,11,0),"")</f>
        <v/>
      </c>
      <c r="BZ21" s="246" t="str">
        <f t="shared" si="6"/>
        <v/>
      </c>
      <c r="CA21" s="245" t="str">
        <f>IF($AD21="○",VLOOKUP($BT21,参照データ!$D$89:$T$100,17,0),"")</f>
        <v/>
      </c>
      <c r="CB21" s="246" t="str">
        <f t="shared" si="21"/>
        <v/>
      </c>
      <c r="CC21" s="245" t="str">
        <f>IF($AF21="○",VLOOKUP($BT21,参照データ!$D$89:$T$100,16,0),"")</f>
        <v/>
      </c>
      <c r="CD21" s="246" t="str">
        <f t="shared" si="22"/>
        <v/>
      </c>
      <c r="CE21" s="25">
        <f t="shared" si="23"/>
        <v>0</v>
      </c>
      <c r="CF21" s="312" t="e">
        <f t="shared" si="7"/>
        <v>#N/A</v>
      </c>
      <c r="CG21" s="300" t="str">
        <f t="shared" si="24"/>
        <v/>
      </c>
      <c r="CH21" s="648">
        <v>5</v>
      </c>
      <c r="CI21" s="256" t="s">
        <v>103</v>
      </c>
      <c r="CJ21" s="257" t="e">
        <f t="shared" si="8"/>
        <v>#N/A</v>
      </c>
      <c r="CK21" s="257" t="e">
        <f>VLOOKUP(CJ21,参照データ!$D$89:$R$100,15,0)</f>
        <v>#N/A</v>
      </c>
      <c r="CL21" s="649" t="e">
        <f>IF(OR($CJ21="",$CJ22=""),"",IF($CJ21&gt;$CJ22,$CK21,$CK22))</f>
        <v>#N/A</v>
      </c>
      <c r="CM21" s="289" t="e">
        <f>INDEX(参照データ!$Q$89:$Q$100,MATCH($CL21,参照データ!$R$89:$R$100,0))</f>
        <v>#N/A</v>
      </c>
      <c r="CN21" s="290" t="str">
        <f>IF($AJ21="○",VLOOKUP($BT21,参照データ!$D$89:$V$100,19,0),"")</f>
        <v/>
      </c>
      <c r="CO21" s="246" t="str">
        <f t="shared" si="25"/>
        <v/>
      </c>
      <c r="CQ21" t="e">
        <f>IF(AND($AW21&gt;=参照データ!$C$132,$AW21&lt;=参照データ!$C$130),1,IF(AND($AW21&gt;=参照データ!$C$135,$AW21&lt;=参照データ!$C$133),2,IF(AND($AW21&gt;=参照データ!$C$138,$AW21&lt;=参照データ!$C$136),3,IF($AW21&lt;=参照データ!$C$139,4,0))))</f>
        <v>#VALUE!</v>
      </c>
      <c r="CR21" t="e">
        <f>IF($AV21="男子",VLOOKUP(CQ21,参照データ!$C$143:$D$150,2),CQ21)</f>
        <v>#VALUE!</v>
      </c>
      <c r="CS21" s="388" t="e">
        <f t="shared" si="26"/>
        <v>#VALUE!</v>
      </c>
      <c r="CT21" s="389" t="str">
        <f>IF($AM21="○",VLOOKUP($CS21,参照データ!$D$143:$F$150,3,0),"")</f>
        <v/>
      </c>
      <c r="CU21" s="390" t="str">
        <f t="shared" si="27"/>
        <v/>
      </c>
      <c r="CV21">
        <f t="shared" si="39"/>
        <v>0</v>
      </c>
      <c r="CW21" s="312" t="e">
        <f t="shared" si="9"/>
        <v>#N/A</v>
      </c>
      <c r="CX21" s="391" t="str">
        <f t="shared" si="28"/>
        <v/>
      </c>
      <c r="CY21" s="724">
        <v>5</v>
      </c>
      <c r="CZ21" s="398" t="s">
        <v>103</v>
      </c>
      <c r="DA21" s="399" t="e">
        <f t="shared" si="40"/>
        <v>#N/A</v>
      </c>
      <c r="DB21" s="399" t="e">
        <f>VLOOKUP(DA21,参照データ!$D$143:$J$150,7,0)</f>
        <v>#N/A</v>
      </c>
      <c r="DC21" s="725" t="e">
        <f t="shared" ref="DC21" si="47">IF(OR($DA21="",$DA22=""),"",IF($DA21&gt;$DA22,$DB21,$DB22))</f>
        <v>#N/A</v>
      </c>
      <c r="DD21" s="400" t="e">
        <f>INDEX(参照データ!$I$143:$I$150,MATCH($DC21,参照データ!$J$143:$J$150,0))</f>
        <v>#N/A</v>
      </c>
      <c r="DF21" s="254">
        <f>(COUNTIF($J21:$O21,"&lt;&gt;"))*参照データ!$D$3</f>
        <v>0</v>
      </c>
      <c r="DG21" s="297">
        <f t="shared" si="29"/>
        <v>0</v>
      </c>
      <c r="DH21" s="157" cm="1">
        <f t="array" ref="DH21">(SUM(COUNTIF($Q21:$U21,{"入門","初級"}))*3000)+(SUM(COUNTIF($Q21:$U21,{"中級","上級"})*3500))</f>
        <v>0</v>
      </c>
      <c r="DI21" s="157">
        <f>IFERROR(VLOOKUP(V21,参照データ!$G$3:$I$6,3,0),0)</f>
        <v>0</v>
      </c>
      <c r="DJ21" s="469">
        <f t="shared" si="30"/>
        <v>0</v>
      </c>
      <c r="DK21" s="157">
        <f t="shared" si="31"/>
        <v>0</v>
      </c>
      <c r="DL21" s="157">
        <f t="shared" si="32"/>
        <v>0</v>
      </c>
      <c r="DM21" s="157">
        <f>(COUNTIF($AM21,"○"))*参照データ!$H$13</f>
        <v>0</v>
      </c>
      <c r="DN21" s="157">
        <f>(IF($AO21&gt;0,参照データ!$I$14,0))</f>
        <v>0</v>
      </c>
      <c r="DO21" s="249">
        <f t="array" ref="DO21">SUM(IF(ISERROR($DF21:$DN21),0,($DF21:$DN21)))</f>
        <v>0</v>
      </c>
      <c r="DP21" s="157"/>
      <c r="DQ21" s="157">
        <f t="shared" si="33"/>
        <v>0</v>
      </c>
      <c r="DR21" s="157">
        <f t="shared" si="34"/>
        <v>0</v>
      </c>
      <c r="DS21" s="157">
        <f t="shared" si="35"/>
        <v>0</v>
      </c>
      <c r="DT21" s="157">
        <f t="shared" si="36"/>
        <v>0</v>
      </c>
      <c r="DU21" s="157">
        <f t="shared" si="37"/>
        <v>0</v>
      </c>
      <c r="DV21" t="str">
        <f t="shared" si="10"/>
        <v/>
      </c>
    </row>
    <row r="22" spans="1:126" ht="18.75" customHeight="1" x14ac:dyDescent="0.2">
      <c r="A22">
        <v>10</v>
      </c>
      <c r="B22" s="183" t="str">
        <f>IF(D22="","",IF(D22="重複","",COUNTIF(B$13:$B21,"&gt;0")+1))</f>
        <v/>
      </c>
      <c r="C22" s="264"/>
      <c r="D22" s="134"/>
      <c r="E22" s="134"/>
      <c r="F22" s="135"/>
      <c r="G22" s="136"/>
      <c r="H22" s="169">
        <f t="shared" si="11"/>
        <v>0</v>
      </c>
      <c r="I22" s="170" t="str">
        <f t="shared" si="12"/>
        <v/>
      </c>
      <c r="J22" s="138"/>
      <c r="K22" s="138"/>
      <c r="L22" s="138"/>
      <c r="M22" s="139"/>
      <c r="N22" s="146"/>
      <c r="O22" s="141"/>
      <c r="P22" s="336"/>
      <c r="Q22" s="142"/>
      <c r="R22" s="143"/>
      <c r="S22" s="143"/>
      <c r="T22" s="144"/>
      <c r="U22" s="143"/>
      <c r="V22" s="266"/>
      <c r="W22" s="145"/>
      <c r="X22" s="269"/>
      <c r="Y22" s="148" t="str">
        <f>IF($X22="○",VLOOKUP($AY22,参照データ!$D$89:$E$100,2),"")</f>
        <v/>
      </c>
      <c r="Z22" s="271"/>
      <c r="AA22" s="148" t="str">
        <f>IF($Z22="○",VLOOKUP($AY22,参照データ!$D$89:$J$100,6),"")</f>
        <v/>
      </c>
      <c r="AB22" s="271"/>
      <c r="AC22" s="148" t="str">
        <f>IF($AB22="○",VLOOKUP($AY22,参照データ!$D$89:$N$100,10),"")</f>
        <v/>
      </c>
      <c r="AD22" s="271"/>
      <c r="AE22" s="148" t="str">
        <f>IF($AD22="○",VLOOKUP($AY22,参照データ!$D$89:$Q$100,14),"")</f>
        <v/>
      </c>
      <c r="AF22" s="271"/>
      <c r="AG22" s="148" t="str">
        <f>IF($AF22="○",VLOOKUP($AY22,参照データ!$D$89:$Q$100,14),"")</f>
        <v/>
      </c>
      <c r="AH22" s="266"/>
      <c r="AI22" s="370" t="str">
        <f t="shared" si="38"/>
        <v/>
      </c>
      <c r="AJ22" s="498"/>
      <c r="AK22" s="497" t="str">
        <f>IF($AJ22="○",VLOOKUP($AY22,参照データ!$D$89:$U$100,18),"")</f>
        <v/>
      </c>
      <c r="AL22" s="170" t="str">
        <f t="shared" si="13"/>
        <v/>
      </c>
      <c r="AM22" s="269"/>
      <c r="AN22" s="413" t="str">
        <f>IF($AM22="○",VLOOKUP($CR22,参照データ!$D$143:$E$150,2),"")</f>
        <v/>
      </c>
      <c r="AO22" s="416"/>
      <c r="AP22" s="366" t="str">
        <f t="shared" si="14"/>
        <v/>
      </c>
      <c r="AQ22" s="465"/>
      <c r="AR22" s="466"/>
      <c r="AT22" s="20" t="s">
        <v>164</v>
      </c>
      <c r="AU22" s="273" t="str">
        <f t="shared" si="15"/>
        <v/>
      </c>
      <c r="AV22" s="274" t="str">
        <f t="shared" si="16"/>
        <v/>
      </c>
      <c r="AW22" s="226" t="e">
        <f t="shared" si="17"/>
        <v>#VALUE!</v>
      </c>
      <c r="AX22" t="e">
        <f>IF(AND(AW22&gt;=参照データ!$C$71,AW22&lt;=参照データ!$C$69),1,IF(AND(AW22&gt;=参照データ!$C$74,AW22&lt;=参照データ!$C$72),2,IF(AND(AW22&gt;=参照データ!$C$77,AW22&lt;=参照データ!$C$75),3,IF(AND(AW22&gt;=参照データ!$C$80,AW22&lt;=参照データ!$C$78),4,IF(AND(AW22&gt;=参照データ!$C$83,AW22&lt;=参照データ!$C$81),5,IF(AW22&lt;=参照データ!$C$84,6,0))))))</f>
        <v>#VALUE!</v>
      </c>
      <c r="AY22" t="e">
        <f>IF(AV22="男子",VLOOKUP(AX22,参照データ!$C$95:$D$100,2),AX22)</f>
        <v>#VALUE!</v>
      </c>
      <c r="AZ22" s="241" t="str">
        <f t="shared" si="2"/>
        <v/>
      </c>
      <c r="BA22" s="219" t="str">
        <f>IF($J22="○",VLOOKUP($AZ22,参照データ!$B$24:$G$41,3,0),"")</f>
        <v/>
      </c>
      <c r="BB22" s="220" t="str">
        <f>IF($K22="○",VLOOKUP($AZ22,参照データ!$B$24:$G$41,4,0),"")</f>
        <v/>
      </c>
      <c r="BC22" s="220" t="str">
        <f>IF($L22="○",VLOOKUP($AZ22,参照データ!$B$24:$G$41,5,0),"")</f>
        <v/>
      </c>
      <c r="BD22" s="220" t="str">
        <f>IF($M22="○",VLOOKUP($AZ22,参照データ!$B$24:$G$41,6,0),"")</f>
        <v/>
      </c>
      <c r="BE22" s="220" t="str">
        <f>IF($N22="○",VLOOKUP($AZ22,参照データ!$B$24:$H$41,7,0),"")</f>
        <v/>
      </c>
      <c r="BF22" s="221" t="str">
        <f>IF($O22="○",VLOOKUP($AZ22,参照データ!$B$24:$I$41,8,0),"")</f>
        <v/>
      </c>
      <c r="BG22" s="344" t="str">
        <f t="shared" si="18"/>
        <v/>
      </c>
      <c r="BH22" s="242" t="str">
        <f>IF($Q22="入門",VLOOKUP($AZ22,参照データ!$B$46:$U$63,3,0),IF($Q22="初級",VLOOKUP($AZ22,参照データ!$B$46:$U$63,4,0),IF($Q22="中級",VLOOKUP($AZ22,参照データ!$B$46:$U$63,5,0),IF($Q22="上級",VLOOKUP($AZ22,参照データ!$B$46:$U$63,6,0),""))))</f>
        <v/>
      </c>
      <c r="BI22" s="242" t="str">
        <f>IF($R22="初級",VLOOKUP($AZ22,参照データ!$B$46:$U$63,7,0),IF($R22="中級",VLOOKUP($AZ22,参照データ!$B$46:$U$63,8,0),IF($R22="上級",VLOOKUP($AZ22,参照データ!$B$46:$U$63,9,0),"")))</f>
        <v/>
      </c>
      <c r="BJ22" s="242" t="str">
        <f>IF($S22="初級",VLOOKUP($AZ22,参照データ!$B$46:$U$63,10,0),IF($S22="上級",VLOOKUP($AZ22,参照データ!$B$46:$U$63,11,0),""))</f>
        <v/>
      </c>
      <c r="BK22" s="242" t="str">
        <f>IF($T22="初級",VLOOKUP($AZ22,参照データ!$B$46:$U$63,15,0),IF($T22="中級",VLOOKUP($AZ22,参照データ!$B$46:$U$63,16,0),IF($T22="上級",VLOOKUP($AZ22,参照データ!$B$46:$U$63,17,0),"")))</f>
        <v/>
      </c>
      <c r="BL22" s="242" t="str">
        <f>IF($U22="初級",VLOOKUP($AZ22,参照データ!$B$46:$U$63,12,0),IF($U22="中級",VLOOKUP($AZ22,参照データ!$B$46:$U$63,13,0),IF($U22="上級",VLOOKUP($AZ22,参照データ!$B$46:$U$63,14,0),"")))</f>
        <v/>
      </c>
      <c r="BM22" s="21" t="str">
        <f t="shared" si="19"/>
        <v/>
      </c>
      <c r="BN22" s="21" t="str">
        <f>IF($V22="初級",VLOOKUP($AZ22,参照データ!$B$46:$U$63,18,0),IF($V22="中級",VLOOKUP($AZ22,参照データ!$B$46:$U$63,19,0),IF($V22="上級",VLOOKUP($AZ22,参照データ!$B$46:$U$63,20,0),"")))</f>
        <v/>
      </c>
      <c r="BO22" s="587"/>
      <c r="BP22" s="250" t="s">
        <v>249</v>
      </c>
      <c r="BQ22" s="251" t="str">
        <f t="shared" si="20"/>
        <v/>
      </c>
      <c r="BR22" s="595"/>
      <c r="BT22" s="241" t="e">
        <f t="shared" si="3"/>
        <v>#VALUE!</v>
      </c>
      <c r="BU22" s="245" t="str">
        <f>IF($X22="○",VLOOKUP($BT22,参照データ!$D$89:$F$100,3,0),"")</f>
        <v/>
      </c>
      <c r="BV22" s="246" t="str">
        <f t="shared" si="4"/>
        <v/>
      </c>
      <c r="BW22" s="245" t="str">
        <f>IF($Z22="○",VLOOKUP($BT22,参照データ!$D$89:$J$100,7,0),"")</f>
        <v/>
      </c>
      <c r="BX22" s="246" t="str">
        <f t="shared" si="5"/>
        <v/>
      </c>
      <c r="BY22" s="245" t="str">
        <f>IF($AB22="○",VLOOKUP($BT22,参照データ!$D$89:$N$100,11,0),"")</f>
        <v/>
      </c>
      <c r="BZ22" s="246" t="str">
        <f t="shared" si="6"/>
        <v/>
      </c>
      <c r="CA22" s="245" t="str">
        <f>IF($AD22="○",VLOOKUP($BT22,参照データ!$D$89:$T$100,17,0),"")</f>
        <v/>
      </c>
      <c r="CB22" s="246" t="str">
        <f t="shared" si="21"/>
        <v/>
      </c>
      <c r="CC22" s="245" t="str">
        <f>IF($AF22="○",VLOOKUP($BT22,参照データ!$D$89:$T$100,16,0),"")</f>
        <v/>
      </c>
      <c r="CD22" s="246" t="str">
        <f t="shared" si="22"/>
        <v/>
      </c>
      <c r="CE22" s="25">
        <f t="shared" si="23"/>
        <v>0</v>
      </c>
      <c r="CF22" s="312" t="e">
        <f t="shared" si="7"/>
        <v>#N/A</v>
      </c>
      <c r="CG22" s="300" t="str">
        <f t="shared" si="24"/>
        <v/>
      </c>
      <c r="CH22" s="645"/>
      <c r="CI22" s="252" t="s">
        <v>104</v>
      </c>
      <c r="CJ22" s="253" t="e">
        <f t="shared" si="8"/>
        <v>#N/A</v>
      </c>
      <c r="CK22" s="253" t="e">
        <f>VLOOKUP(CJ22,参照データ!$D$89:$R$100,15,0)</f>
        <v>#N/A</v>
      </c>
      <c r="CL22" s="647"/>
      <c r="CM22" s="288" t="e">
        <f>CM21</f>
        <v>#N/A</v>
      </c>
      <c r="CN22" s="290" t="str">
        <f>IF($AJ22="○",VLOOKUP($BT22,参照データ!$D$89:$V$100,19,0),"")</f>
        <v/>
      </c>
      <c r="CO22" s="246" t="str">
        <f t="shared" si="25"/>
        <v/>
      </c>
      <c r="CQ22" t="e">
        <f>IF(AND($AW22&gt;=参照データ!$C$132,$AW22&lt;=参照データ!$C$130),1,IF(AND($AW22&gt;=参照データ!$C$135,$AW22&lt;=参照データ!$C$133),2,IF(AND($AW22&gt;=参照データ!$C$138,$AW22&lt;=参照データ!$C$136),3,IF($AW22&lt;=参照データ!$C$139,4,0))))</f>
        <v>#VALUE!</v>
      </c>
      <c r="CR22" t="e">
        <f>IF($AV22="男子",VLOOKUP(CQ22,参照データ!$C$143:$D$150,2),CQ22)</f>
        <v>#VALUE!</v>
      </c>
      <c r="CS22" s="388" t="e">
        <f t="shared" si="26"/>
        <v>#VALUE!</v>
      </c>
      <c r="CT22" s="389" t="str">
        <f>IF($AM22="○",VLOOKUP($CS22,参照データ!$D$143:$F$150,3,0),"")</f>
        <v/>
      </c>
      <c r="CU22" s="390" t="str">
        <f t="shared" si="27"/>
        <v/>
      </c>
      <c r="CV22">
        <f t="shared" si="39"/>
        <v>0</v>
      </c>
      <c r="CW22" s="312" t="e">
        <f t="shared" si="9"/>
        <v>#N/A</v>
      </c>
      <c r="CX22" s="391" t="str">
        <f t="shared" si="28"/>
        <v/>
      </c>
      <c r="CY22" s="721"/>
      <c r="CZ22" s="395" t="s">
        <v>104</v>
      </c>
      <c r="DA22" s="396" t="e">
        <f t="shared" si="40"/>
        <v>#N/A</v>
      </c>
      <c r="DB22" s="396" t="e">
        <f>VLOOKUP(DA22,参照データ!$D$143:$J$150,7,0)</f>
        <v>#N/A</v>
      </c>
      <c r="DC22" s="723"/>
      <c r="DD22" s="397" t="e">
        <f t="shared" ref="DD22" si="48">DD21</f>
        <v>#N/A</v>
      </c>
      <c r="DF22" s="254">
        <f>(COUNTIF($J22:$O22,"&lt;&gt;"))*参照データ!$D$3</f>
        <v>0</v>
      </c>
      <c r="DG22" s="297">
        <f t="shared" si="29"/>
        <v>0</v>
      </c>
      <c r="DH22" s="157" cm="1">
        <f t="array" ref="DH22">(SUM(COUNTIF($Q22:$U22,{"入門","初級"}))*3000)+(SUM(COUNTIF($Q22:$U22,{"中級","上級"})*3500))</f>
        <v>0</v>
      </c>
      <c r="DI22" s="157">
        <f>IFERROR(VLOOKUP(V22,参照データ!$G$3:$I$6,3,0),0)</f>
        <v>0</v>
      </c>
      <c r="DJ22" s="469">
        <f t="shared" si="30"/>
        <v>0</v>
      </c>
      <c r="DK22" s="157">
        <f t="shared" si="31"/>
        <v>0</v>
      </c>
      <c r="DL22" s="157">
        <f t="shared" si="32"/>
        <v>0</v>
      </c>
      <c r="DM22" s="157">
        <f>(COUNTIF($AM22,"○"))*参照データ!$H$13</f>
        <v>0</v>
      </c>
      <c r="DN22" s="157">
        <f>(IF($AO22&gt;0,参照データ!$I$14,0))</f>
        <v>0</v>
      </c>
      <c r="DO22" s="249">
        <f t="array" ref="DO22">SUM(IF(ISERROR($DF22:$DN22),0,($DF22:$DN22)))</f>
        <v>0</v>
      </c>
      <c r="DP22" s="157"/>
      <c r="DQ22" s="157">
        <f t="shared" si="33"/>
        <v>0</v>
      </c>
      <c r="DR22" s="157">
        <f t="shared" si="34"/>
        <v>0</v>
      </c>
      <c r="DS22" s="157">
        <f t="shared" si="35"/>
        <v>0</v>
      </c>
      <c r="DT22" s="157">
        <f t="shared" si="36"/>
        <v>0</v>
      </c>
      <c r="DU22" s="157">
        <f t="shared" si="37"/>
        <v>0</v>
      </c>
      <c r="DV22" t="str">
        <f t="shared" si="10"/>
        <v/>
      </c>
    </row>
    <row r="23" spans="1:126" ht="18.75" customHeight="1" x14ac:dyDescent="0.2">
      <c r="A23">
        <v>11</v>
      </c>
      <c r="B23" s="183" t="str">
        <f>IF(D23="","",IF(D23="重複","",COUNTIF(B$13:$B22,"&gt;0")+1))</f>
        <v/>
      </c>
      <c r="C23" s="264"/>
      <c r="D23" s="134"/>
      <c r="E23" s="134"/>
      <c r="F23" s="135"/>
      <c r="G23" s="136"/>
      <c r="H23" s="169">
        <f t="shared" si="11"/>
        <v>0</v>
      </c>
      <c r="I23" s="170" t="str">
        <f t="shared" si="12"/>
        <v/>
      </c>
      <c r="J23" s="138"/>
      <c r="K23" s="138"/>
      <c r="L23" s="138"/>
      <c r="M23" s="139"/>
      <c r="N23" s="146"/>
      <c r="O23" s="141"/>
      <c r="P23" s="336"/>
      <c r="Q23" s="142"/>
      <c r="R23" s="143"/>
      <c r="S23" s="143"/>
      <c r="T23" s="144"/>
      <c r="U23" s="143"/>
      <c r="V23" s="266"/>
      <c r="W23" s="145"/>
      <c r="X23" s="269"/>
      <c r="Y23" s="148" t="str">
        <f>IF($X23="○",VLOOKUP($AY23,参照データ!$D$89:$E$100,2),"")</f>
        <v/>
      </c>
      <c r="Z23" s="271"/>
      <c r="AA23" s="148" t="str">
        <f>IF($Z23="○",VLOOKUP($AY23,参照データ!$D$89:$J$100,6),"")</f>
        <v/>
      </c>
      <c r="AB23" s="271"/>
      <c r="AC23" s="148" t="str">
        <f>IF($AB23="○",VLOOKUP($AY23,参照データ!$D$89:$N$100,10),"")</f>
        <v/>
      </c>
      <c r="AD23" s="271"/>
      <c r="AE23" s="148" t="str">
        <f>IF($AD23="○",VLOOKUP($AY23,参照データ!$D$89:$Q$100,14),"")</f>
        <v/>
      </c>
      <c r="AF23" s="271"/>
      <c r="AG23" s="148" t="str">
        <f>IF($AF23="○",VLOOKUP($AY23,参照データ!$D$89:$Q$100,14),"")</f>
        <v/>
      </c>
      <c r="AH23" s="266"/>
      <c r="AI23" s="370" t="str">
        <f t="shared" si="38"/>
        <v/>
      </c>
      <c r="AJ23" s="498"/>
      <c r="AK23" s="497" t="str">
        <f>IF($AJ23="○",VLOOKUP($AY23,参照データ!$D$89:$U$100,18),"")</f>
        <v/>
      </c>
      <c r="AL23" s="170" t="str">
        <f t="shared" si="13"/>
        <v/>
      </c>
      <c r="AM23" s="269"/>
      <c r="AN23" s="413" t="str">
        <f>IF($AM23="○",VLOOKUP($CR23,参照データ!$D$143:$E$150,2),"")</f>
        <v/>
      </c>
      <c r="AO23" s="416"/>
      <c r="AP23" s="366" t="str">
        <f t="shared" si="14"/>
        <v/>
      </c>
      <c r="AQ23" s="465"/>
      <c r="AR23" s="466"/>
      <c r="AT23" s="285" t="s">
        <v>636</v>
      </c>
      <c r="AU23" s="273" t="str">
        <f t="shared" si="15"/>
        <v/>
      </c>
      <c r="AV23" s="274" t="str">
        <f t="shared" si="16"/>
        <v/>
      </c>
      <c r="AW23" s="226" t="e">
        <f t="shared" si="17"/>
        <v>#VALUE!</v>
      </c>
      <c r="AX23" t="e">
        <f>IF(AND(AW23&gt;=参照データ!$C$71,AW23&lt;=参照データ!$C$69),1,IF(AND(AW23&gt;=参照データ!$C$74,AW23&lt;=参照データ!$C$72),2,IF(AND(AW23&gt;=参照データ!$C$77,AW23&lt;=参照データ!$C$75),3,IF(AND(AW23&gt;=参照データ!$C$80,AW23&lt;=参照データ!$C$78),4,IF(AND(AW23&gt;=参照データ!$C$83,AW23&lt;=参照データ!$C$81),5,IF(AW23&lt;=参照データ!$C$84,6,0))))))</f>
        <v>#VALUE!</v>
      </c>
      <c r="AY23" t="e">
        <f>IF(AV23="男子",VLOOKUP(AX23,参照データ!$C$95:$D$100,2),AX23)</f>
        <v>#VALUE!</v>
      </c>
      <c r="AZ23" s="241" t="str">
        <f t="shared" si="2"/>
        <v/>
      </c>
      <c r="BA23" s="219" t="str">
        <f>IF($J23="○",VLOOKUP($AZ23,参照データ!$B$24:$G$41,3,0),"")</f>
        <v/>
      </c>
      <c r="BB23" s="220" t="str">
        <f>IF($K23="○",VLOOKUP($AZ23,参照データ!$B$24:$G$41,4,0),"")</f>
        <v/>
      </c>
      <c r="BC23" s="220" t="str">
        <f>IF($L23="○",VLOOKUP($AZ23,参照データ!$B$24:$G$41,5,0),"")</f>
        <v/>
      </c>
      <c r="BD23" s="220" t="str">
        <f>IF($M23="○",VLOOKUP($AZ23,参照データ!$B$24:$G$41,6,0),"")</f>
        <v/>
      </c>
      <c r="BE23" s="220" t="str">
        <f>IF($N23="○",VLOOKUP($AZ23,参照データ!$B$24:$H$41,7,0),"")</f>
        <v/>
      </c>
      <c r="BF23" s="221" t="str">
        <f>IF($O23="○",VLOOKUP($AZ23,参照データ!$B$24:$I$41,8,0),"")</f>
        <v/>
      </c>
      <c r="BG23" s="344" t="str">
        <f t="shared" si="18"/>
        <v/>
      </c>
      <c r="BH23" s="242" t="str">
        <f>IF($Q23="入門",VLOOKUP($AZ23,参照データ!$B$46:$U$63,3,0),IF($Q23="初級",VLOOKUP($AZ23,参照データ!$B$46:$U$63,4,0),IF($Q23="中級",VLOOKUP($AZ23,参照データ!$B$46:$U$63,5,0),IF($Q23="上級",VLOOKUP($AZ23,参照データ!$B$46:$U$63,6,0),""))))</f>
        <v/>
      </c>
      <c r="BI23" s="242" t="str">
        <f>IF($R23="初級",VLOOKUP($AZ23,参照データ!$B$46:$U$63,7,0),IF($R23="中級",VLOOKUP($AZ23,参照データ!$B$46:$U$63,8,0),IF($R23="上級",VLOOKUP($AZ23,参照データ!$B$46:$U$63,9,0),"")))</f>
        <v/>
      </c>
      <c r="BJ23" s="242" t="str">
        <f>IF($S23="初級",VLOOKUP($AZ23,参照データ!$B$46:$U$63,10,0),IF($S23="上級",VLOOKUP($AZ23,参照データ!$B$46:$U$63,11,0),""))</f>
        <v/>
      </c>
      <c r="BK23" s="242" t="str">
        <f>IF($T23="初級",VLOOKUP($AZ23,参照データ!$B$46:$U$63,15,0),IF($T23="中級",VLOOKUP($AZ23,参照データ!$B$46:$U$63,16,0),IF($T23="上級",VLOOKUP($AZ23,参照データ!$B$46:$U$63,17,0),"")))</f>
        <v/>
      </c>
      <c r="BL23" s="242" t="str">
        <f>IF($U23="初級",VLOOKUP($AZ23,参照データ!$B$46:$U$63,12,0),IF($U23="中級",VLOOKUP($AZ23,参照データ!$B$46:$U$63,13,0),IF($U23="上級",VLOOKUP($AZ23,参照データ!$B$46:$U$63,14,0),"")))</f>
        <v/>
      </c>
      <c r="BM23" s="21" t="str">
        <f t="shared" si="19"/>
        <v/>
      </c>
      <c r="BN23" s="21" t="str">
        <f>IF($V23="初級",VLOOKUP($AZ23,参照データ!$B$46:$U$63,18,0),IF($V23="中級",VLOOKUP($AZ23,参照データ!$B$46:$U$63,19,0),IF($V23="上級",VLOOKUP($AZ23,参照データ!$B$46:$U$63,20,0),"")))</f>
        <v/>
      </c>
      <c r="BO23" s="604">
        <v>6</v>
      </c>
      <c r="BP23" s="255" t="s">
        <v>250</v>
      </c>
      <c r="BQ23" s="251" t="str">
        <f t="shared" si="20"/>
        <v/>
      </c>
      <c r="BR23" s="594" t="str">
        <f>IF(OR($BQ23="",$BQ24=""),"",IF($BQ23&gt;$BQ24,$BQ23,$BQ24))</f>
        <v/>
      </c>
      <c r="BT23" s="241" t="e">
        <f t="shared" si="3"/>
        <v>#VALUE!</v>
      </c>
      <c r="BU23" s="245" t="str">
        <f>IF($X23="○",VLOOKUP($BT23,参照データ!$D$89:$F$100,3,0),"")</f>
        <v/>
      </c>
      <c r="BV23" s="246" t="str">
        <f t="shared" si="4"/>
        <v/>
      </c>
      <c r="BW23" s="245" t="str">
        <f>IF($Z23="○",VLOOKUP($BT23,参照データ!$D$89:$J$100,7,0),"")</f>
        <v/>
      </c>
      <c r="BX23" s="246" t="str">
        <f t="shared" si="5"/>
        <v/>
      </c>
      <c r="BY23" s="245" t="str">
        <f>IF($AB23="○",VLOOKUP($BT23,参照データ!$D$89:$N$100,11,0),"")</f>
        <v/>
      </c>
      <c r="BZ23" s="246" t="str">
        <f t="shared" si="6"/>
        <v/>
      </c>
      <c r="CA23" s="245" t="str">
        <f>IF($AD23="○",VLOOKUP($BT23,参照データ!$D$89:$T$100,17,0),"")</f>
        <v/>
      </c>
      <c r="CB23" s="246" t="str">
        <f t="shared" si="21"/>
        <v/>
      </c>
      <c r="CC23" s="245" t="str">
        <f>IF($AF23="○",VLOOKUP($BT23,参照データ!$D$89:$T$100,16,0),"")</f>
        <v/>
      </c>
      <c r="CD23" s="246" t="str">
        <f t="shared" si="22"/>
        <v/>
      </c>
      <c r="CE23" s="25">
        <f t="shared" si="23"/>
        <v>0</v>
      </c>
      <c r="CF23" s="312" t="e">
        <f t="shared" si="7"/>
        <v>#N/A</v>
      </c>
      <c r="CG23" s="300" t="str">
        <f t="shared" si="24"/>
        <v/>
      </c>
      <c r="CH23" s="648">
        <v>6</v>
      </c>
      <c r="CI23" s="256" t="s">
        <v>105</v>
      </c>
      <c r="CJ23" s="257" t="e">
        <f t="shared" si="8"/>
        <v>#N/A</v>
      </c>
      <c r="CK23" s="257" t="e">
        <f>VLOOKUP(CJ23,参照データ!$D$89:$R$100,15,0)</f>
        <v>#N/A</v>
      </c>
      <c r="CL23" s="649" t="e">
        <f>IF(OR($CJ23="",$CJ24=""),"",IF($CJ23&gt;$CJ24,$CK23,$CK24))</f>
        <v>#N/A</v>
      </c>
      <c r="CM23" s="289" t="e">
        <f>INDEX(参照データ!$Q$89:$Q$100,MATCH($CL23,参照データ!$R$89:$R$100,0))</f>
        <v>#N/A</v>
      </c>
      <c r="CN23" s="290" t="str">
        <f>IF($AJ23="○",VLOOKUP($BT23,参照データ!$D$89:$V$100,19,0),"")</f>
        <v/>
      </c>
      <c r="CO23" s="246" t="str">
        <f t="shared" si="25"/>
        <v/>
      </c>
      <c r="CQ23" t="e">
        <f>IF(AND($AW23&gt;=参照データ!$C$132,$AW23&lt;=参照データ!$C$130),1,IF(AND($AW23&gt;=参照データ!$C$135,$AW23&lt;=参照データ!$C$133),2,IF(AND($AW23&gt;=参照データ!$C$138,$AW23&lt;=参照データ!$C$136),3,IF($AW23&lt;=参照データ!$C$139,4,0))))</f>
        <v>#VALUE!</v>
      </c>
      <c r="CR23" t="e">
        <f>IF($AV23="男子",VLOOKUP(CQ23,参照データ!$C$143:$D$150,2),CQ23)</f>
        <v>#VALUE!</v>
      </c>
      <c r="CS23" s="388" t="e">
        <f t="shared" si="26"/>
        <v>#VALUE!</v>
      </c>
      <c r="CT23" s="389" t="str">
        <f>IF($AM23="○",VLOOKUP($CS23,参照データ!$D$143:$F$150,3,0),"")</f>
        <v/>
      </c>
      <c r="CU23" s="390" t="str">
        <f t="shared" si="27"/>
        <v/>
      </c>
      <c r="CV23">
        <f t="shared" si="39"/>
        <v>0</v>
      </c>
      <c r="CW23" s="312" t="e">
        <f t="shared" si="9"/>
        <v>#N/A</v>
      </c>
      <c r="CX23" s="391" t="str">
        <f t="shared" si="28"/>
        <v/>
      </c>
      <c r="CY23" s="724">
        <v>6</v>
      </c>
      <c r="CZ23" s="398" t="s">
        <v>105</v>
      </c>
      <c r="DA23" s="399" t="e">
        <f t="shared" si="40"/>
        <v>#N/A</v>
      </c>
      <c r="DB23" s="399" t="e">
        <f>VLOOKUP(DA23,参照データ!$D$143:$J$150,7,0)</f>
        <v>#N/A</v>
      </c>
      <c r="DC23" s="725" t="e">
        <f t="shared" ref="DC23" si="49">IF(OR($DA23="",$DA24=""),"",IF($DA23&gt;$DA24,$DB23,$DB24))</f>
        <v>#N/A</v>
      </c>
      <c r="DD23" s="400" t="e">
        <f>INDEX(参照データ!$I$143:$I$150,MATCH($DC23,参照データ!$J$143:$J$150,0))</f>
        <v>#N/A</v>
      </c>
      <c r="DF23" s="254">
        <f>(COUNTIF($J23:$O23,"&lt;&gt;"))*参照データ!$D$3</f>
        <v>0</v>
      </c>
      <c r="DG23" s="297">
        <f t="shared" si="29"/>
        <v>0</v>
      </c>
      <c r="DH23" s="157" cm="1">
        <f t="array" ref="DH23">(SUM(COUNTIF($Q23:$U23,{"入門","初級"}))*3000)+(SUM(COUNTIF($Q23:$U23,{"中級","上級"})*3500))</f>
        <v>0</v>
      </c>
      <c r="DI23" s="157">
        <f>IFERROR(VLOOKUP(V23,参照データ!$G$3:$I$6,3,0),0)</f>
        <v>0</v>
      </c>
      <c r="DJ23" s="469">
        <f t="shared" si="30"/>
        <v>0</v>
      </c>
      <c r="DK23" s="157">
        <f t="shared" si="31"/>
        <v>0</v>
      </c>
      <c r="DL23" s="157">
        <f t="shared" si="32"/>
        <v>0</v>
      </c>
      <c r="DM23" s="157">
        <f>(COUNTIF($AM23,"○"))*参照データ!$H$13</f>
        <v>0</v>
      </c>
      <c r="DN23" s="157">
        <f>(IF($AO23&gt;0,参照データ!$I$14,0))</f>
        <v>0</v>
      </c>
      <c r="DO23" s="249">
        <f t="array" ref="DO23">SUM(IF(ISERROR($DF23:$DN23),0,($DF23:$DN23)))</f>
        <v>0</v>
      </c>
      <c r="DP23" s="157"/>
      <c r="DQ23" s="157">
        <f t="shared" si="33"/>
        <v>0</v>
      </c>
      <c r="DR23" s="157">
        <f t="shared" si="34"/>
        <v>0</v>
      </c>
      <c r="DS23" s="157">
        <f t="shared" si="35"/>
        <v>0</v>
      </c>
      <c r="DT23" s="157">
        <f t="shared" si="36"/>
        <v>0</v>
      </c>
      <c r="DU23" s="157">
        <f t="shared" si="37"/>
        <v>0</v>
      </c>
      <c r="DV23" t="str">
        <f t="shared" si="10"/>
        <v/>
      </c>
    </row>
    <row r="24" spans="1:126" ht="18.75" customHeight="1" x14ac:dyDescent="0.2">
      <c r="A24">
        <v>12</v>
      </c>
      <c r="B24" s="183" t="str">
        <f>IF(D24="","",IF(D24="重複","",COUNTIF(B$13:$B23,"&gt;0")+1))</f>
        <v/>
      </c>
      <c r="C24" s="264"/>
      <c r="D24" s="134"/>
      <c r="E24" s="134"/>
      <c r="F24" s="135"/>
      <c r="G24" s="136"/>
      <c r="H24" s="169">
        <f t="shared" si="11"/>
        <v>0</v>
      </c>
      <c r="I24" s="170" t="str">
        <f t="shared" si="12"/>
        <v/>
      </c>
      <c r="J24" s="138"/>
      <c r="K24" s="138"/>
      <c r="L24" s="138"/>
      <c r="M24" s="139"/>
      <c r="N24" s="146"/>
      <c r="O24" s="141"/>
      <c r="P24" s="336"/>
      <c r="Q24" s="142"/>
      <c r="R24" s="143"/>
      <c r="S24" s="143"/>
      <c r="T24" s="144"/>
      <c r="U24" s="143"/>
      <c r="V24" s="266"/>
      <c r="W24" s="145"/>
      <c r="X24" s="269"/>
      <c r="Y24" s="148" t="str">
        <f>IF($X24="○",VLOOKUP($AY24,参照データ!$D$89:$E$100,2),"")</f>
        <v/>
      </c>
      <c r="Z24" s="271"/>
      <c r="AA24" s="148" t="str">
        <f>IF($Z24="○",VLOOKUP($AY24,参照データ!$D$89:$J$100,6),"")</f>
        <v/>
      </c>
      <c r="AB24" s="271"/>
      <c r="AC24" s="148" t="str">
        <f>IF($AB24="○",VLOOKUP($AY24,参照データ!$D$89:$N$100,10),"")</f>
        <v/>
      </c>
      <c r="AD24" s="271"/>
      <c r="AE24" s="148" t="str">
        <f>IF($AD24="○",VLOOKUP($AY24,参照データ!$D$89:$Q$100,14),"")</f>
        <v/>
      </c>
      <c r="AF24" s="271"/>
      <c r="AG24" s="148" t="str">
        <f>IF($AF24="○",VLOOKUP($AY24,参照データ!$D$89:$Q$100,14),"")</f>
        <v/>
      </c>
      <c r="AH24" s="266"/>
      <c r="AI24" s="370" t="str">
        <f t="shared" si="38"/>
        <v/>
      </c>
      <c r="AJ24" s="498"/>
      <c r="AK24" s="497" t="str">
        <f>IF($AJ24="○",VLOOKUP($AY24,参照データ!$D$89:$U$100,18),"")</f>
        <v/>
      </c>
      <c r="AL24" s="170" t="str">
        <f t="shared" si="13"/>
        <v/>
      </c>
      <c r="AM24" s="269"/>
      <c r="AN24" s="413" t="str">
        <f>IF($AM24="○",VLOOKUP($CR24,参照データ!$D$143:$E$150,2),"")</f>
        <v/>
      </c>
      <c r="AO24" s="416"/>
      <c r="AP24" s="366" t="str">
        <f t="shared" si="14"/>
        <v/>
      </c>
      <c r="AQ24" s="465"/>
      <c r="AR24" s="466"/>
      <c r="AT24" s="285" t="s">
        <v>637</v>
      </c>
      <c r="AU24" s="273" t="str">
        <f t="shared" si="15"/>
        <v/>
      </c>
      <c r="AV24" s="274" t="str">
        <f t="shared" si="16"/>
        <v/>
      </c>
      <c r="AW24" s="226" t="e">
        <f t="shared" si="17"/>
        <v>#VALUE!</v>
      </c>
      <c r="AX24" t="e">
        <f>IF(AND(AW24&gt;=参照データ!$C$71,AW24&lt;=参照データ!$C$69),1,IF(AND(AW24&gt;=参照データ!$C$74,AW24&lt;=参照データ!$C$72),2,IF(AND(AW24&gt;=参照データ!$C$77,AW24&lt;=参照データ!$C$75),3,IF(AND(AW24&gt;=参照データ!$C$80,AW24&lt;=参照データ!$C$78),4,IF(AND(AW24&gt;=参照データ!$C$83,AW24&lt;=参照データ!$C$81),5,IF(AW24&lt;=参照データ!$C$84,6,0))))))</f>
        <v>#VALUE!</v>
      </c>
      <c r="AY24" t="e">
        <f>IF(AV24="男子",VLOOKUP(AX24,参照データ!$C$95:$D$100,2),AX24)</f>
        <v>#VALUE!</v>
      </c>
      <c r="AZ24" s="241" t="str">
        <f t="shared" si="2"/>
        <v/>
      </c>
      <c r="BA24" s="219" t="str">
        <f>IF($J24="○",VLOOKUP($AZ24,参照データ!$B$24:$G$41,3,0),"")</f>
        <v/>
      </c>
      <c r="BB24" s="220" t="str">
        <f>IF($K24="○",VLOOKUP($AZ24,参照データ!$B$24:$G$41,4,0),"")</f>
        <v/>
      </c>
      <c r="BC24" s="220" t="str">
        <f>IF($L24="○",VLOOKUP($AZ24,参照データ!$B$24:$G$41,5,0),"")</f>
        <v/>
      </c>
      <c r="BD24" s="220" t="str">
        <f>IF($M24="○",VLOOKUP($AZ24,参照データ!$B$24:$G$41,6,0),"")</f>
        <v/>
      </c>
      <c r="BE24" s="220" t="str">
        <f>IF($N24="○",VLOOKUP($AZ24,参照データ!$B$24:$H$41,7,0),"")</f>
        <v/>
      </c>
      <c r="BF24" s="221" t="str">
        <f>IF($O24="○",VLOOKUP($AZ24,参照データ!$B$24:$I$41,8,0),"")</f>
        <v/>
      </c>
      <c r="BG24" s="344" t="str">
        <f t="shared" si="18"/>
        <v/>
      </c>
      <c r="BH24" s="242" t="str">
        <f>IF($Q24="入門",VLOOKUP($AZ24,参照データ!$B$46:$U$63,3,0),IF($Q24="初級",VLOOKUP($AZ24,参照データ!$B$46:$U$63,4,0),IF($Q24="中級",VLOOKUP($AZ24,参照データ!$B$46:$U$63,5,0),IF($Q24="上級",VLOOKUP($AZ24,参照データ!$B$46:$U$63,6,0),""))))</f>
        <v/>
      </c>
      <c r="BI24" s="242" t="str">
        <f>IF($R24="初級",VLOOKUP($AZ24,参照データ!$B$46:$U$63,7,0),IF($R24="中級",VLOOKUP($AZ24,参照データ!$B$46:$U$63,8,0),IF($R24="上級",VLOOKUP($AZ24,参照データ!$B$46:$U$63,9,0),"")))</f>
        <v/>
      </c>
      <c r="BJ24" s="242" t="str">
        <f>IF($S24="初級",VLOOKUP($AZ24,参照データ!$B$46:$U$63,10,0),IF($S24="上級",VLOOKUP($AZ24,参照データ!$B$46:$U$63,11,0),""))</f>
        <v/>
      </c>
      <c r="BK24" s="242" t="str">
        <f>IF($T24="初級",VLOOKUP($AZ24,参照データ!$B$46:$U$63,15,0),IF($T24="中級",VLOOKUP($AZ24,参照データ!$B$46:$U$63,16,0),IF($T24="上級",VLOOKUP($AZ24,参照データ!$B$46:$U$63,17,0),"")))</f>
        <v/>
      </c>
      <c r="BL24" s="242" t="str">
        <f>IF($U24="初級",VLOOKUP($AZ24,参照データ!$B$46:$U$63,12,0),IF($U24="中級",VLOOKUP($AZ24,参照データ!$B$46:$U$63,13,0),IF($U24="上級",VLOOKUP($AZ24,参照データ!$B$46:$U$63,14,0),"")))</f>
        <v/>
      </c>
      <c r="BM24" s="21" t="str">
        <f t="shared" si="19"/>
        <v/>
      </c>
      <c r="BN24" s="21" t="str">
        <f>IF($V24="初級",VLOOKUP($AZ24,参照データ!$B$46:$U$63,18,0),IF($V24="中級",VLOOKUP($AZ24,参照データ!$B$46:$U$63,19,0),IF($V24="上級",VLOOKUP($AZ24,参照データ!$B$46:$U$63,20,0),"")))</f>
        <v/>
      </c>
      <c r="BO24" s="587"/>
      <c r="BP24" s="250" t="s">
        <v>251</v>
      </c>
      <c r="BQ24" s="251" t="str">
        <f t="shared" si="20"/>
        <v/>
      </c>
      <c r="BR24" s="595"/>
      <c r="BT24" s="241" t="e">
        <f t="shared" si="3"/>
        <v>#VALUE!</v>
      </c>
      <c r="BU24" s="245" t="str">
        <f>IF($X24="○",VLOOKUP($BT24,参照データ!$D$89:$F$100,3,0),"")</f>
        <v/>
      </c>
      <c r="BV24" s="246" t="str">
        <f t="shared" si="4"/>
        <v/>
      </c>
      <c r="BW24" s="245" t="str">
        <f>IF($Z24="○",VLOOKUP($BT24,参照データ!$D$89:$J$100,7,0),"")</f>
        <v/>
      </c>
      <c r="BX24" s="246" t="str">
        <f t="shared" si="5"/>
        <v/>
      </c>
      <c r="BY24" s="245" t="str">
        <f>IF($AB24="○",VLOOKUP($BT24,参照データ!$D$89:$N$100,11,0),"")</f>
        <v/>
      </c>
      <c r="BZ24" s="246" t="str">
        <f t="shared" si="6"/>
        <v/>
      </c>
      <c r="CA24" s="245" t="str">
        <f>IF($AD24="○",VLOOKUP($BT24,参照データ!$D$89:$T$100,17,0),"")</f>
        <v/>
      </c>
      <c r="CB24" s="246" t="str">
        <f t="shared" si="21"/>
        <v/>
      </c>
      <c r="CC24" s="245" t="str">
        <f>IF($AF24="○",VLOOKUP($BT24,参照データ!$D$89:$T$100,16,0),"")</f>
        <v/>
      </c>
      <c r="CD24" s="246" t="str">
        <f t="shared" si="22"/>
        <v/>
      </c>
      <c r="CE24" s="25">
        <f t="shared" si="23"/>
        <v>0</v>
      </c>
      <c r="CF24" s="312" t="e">
        <f t="shared" si="7"/>
        <v>#N/A</v>
      </c>
      <c r="CG24" s="300" t="str">
        <f t="shared" si="24"/>
        <v/>
      </c>
      <c r="CH24" s="645"/>
      <c r="CI24" s="252" t="s">
        <v>106</v>
      </c>
      <c r="CJ24" s="253" t="e">
        <f t="shared" si="8"/>
        <v>#N/A</v>
      </c>
      <c r="CK24" s="253" t="e">
        <f>VLOOKUP(CJ24,参照データ!$D$89:$R$100,15,0)</f>
        <v>#N/A</v>
      </c>
      <c r="CL24" s="647"/>
      <c r="CM24" s="288" t="e">
        <f>CM23</f>
        <v>#N/A</v>
      </c>
      <c r="CN24" s="290" t="str">
        <f>IF($AJ24="○",VLOOKUP($BT24,参照データ!$D$89:$V$100,19,0),"")</f>
        <v/>
      </c>
      <c r="CO24" s="246" t="str">
        <f t="shared" si="25"/>
        <v/>
      </c>
      <c r="CQ24" t="e">
        <f>IF(AND($AW24&gt;=参照データ!$C$132,$AW24&lt;=参照データ!$C$130),1,IF(AND($AW24&gt;=参照データ!$C$135,$AW24&lt;=参照データ!$C$133),2,IF(AND($AW24&gt;=参照データ!$C$138,$AW24&lt;=参照データ!$C$136),3,IF($AW24&lt;=参照データ!$C$139,4,0))))</f>
        <v>#VALUE!</v>
      </c>
      <c r="CR24" t="e">
        <f>IF($AV24="男子",VLOOKUP(CQ24,参照データ!$C$143:$D$150,2),CQ24)</f>
        <v>#VALUE!</v>
      </c>
      <c r="CS24" s="388" t="e">
        <f t="shared" si="26"/>
        <v>#VALUE!</v>
      </c>
      <c r="CT24" s="389" t="str">
        <f>IF($AM24="○",VLOOKUP($CS24,参照データ!$D$143:$F$150,3,0),"")</f>
        <v/>
      </c>
      <c r="CU24" s="390" t="str">
        <f t="shared" si="27"/>
        <v/>
      </c>
      <c r="CV24">
        <f t="shared" si="39"/>
        <v>0</v>
      </c>
      <c r="CW24" s="312" t="e">
        <f t="shared" si="9"/>
        <v>#N/A</v>
      </c>
      <c r="CX24" s="391" t="str">
        <f t="shared" si="28"/>
        <v/>
      </c>
      <c r="CY24" s="721"/>
      <c r="CZ24" s="395" t="s">
        <v>106</v>
      </c>
      <c r="DA24" s="396" t="e">
        <f t="shared" si="40"/>
        <v>#N/A</v>
      </c>
      <c r="DB24" s="396" t="e">
        <f>VLOOKUP(DA24,参照データ!$D$143:$J$150,7,0)</f>
        <v>#N/A</v>
      </c>
      <c r="DC24" s="723"/>
      <c r="DD24" s="397" t="e">
        <f t="shared" ref="DD24" si="50">DD23</f>
        <v>#N/A</v>
      </c>
      <c r="DF24" s="254">
        <f>(COUNTIF($J24:$O24,"&lt;&gt;"))*参照データ!$D$3</f>
        <v>0</v>
      </c>
      <c r="DG24" s="297">
        <f t="shared" si="29"/>
        <v>0</v>
      </c>
      <c r="DH24" s="157" cm="1">
        <f t="array" ref="DH24">(SUM(COUNTIF($Q24:$U24,{"入門","初級"}))*3000)+(SUM(COUNTIF($Q24:$U24,{"中級","上級"})*3500))</f>
        <v>0</v>
      </c>
      <c r="DI24" s="157">
        <f>IFERROR(VLOOKUP(V24,参照データ!$G$3:$I$6,3,0),0)</f>
        <v>0</v>
      </c>
      <c r="DJ24" s="469">
        <f t="shared" si="30"/>
        <v>0</v>
      </c>
      <c r="DK24" s="157">
        <f t="shared" si="31"/>
        <v>0</v>
      </c>
      <c r="DL24" s="157">
        <f t="shared" si="32"/>
        <v>0</v>
      </c>
      <c r="DM24" s="157">
        <f>(COUNTIF($AM24,"○"))*参照データ!$H$13</f>
        <v>0</v>
      </c>
      <c r="DN24" s="157">
        <f>(IF($AO24&gt;0,参照データ!$I$14,0))</f>
        <v>0</v>
      </c>
      <c r="DO24" s="249">
        <f t="array" ref="DO24">SUM(IF(ISERROR($DF24:$DN24),0,($DF24:$DN24)))</f>
        <v>0</v>
      </c>
      <c r="DP24" s="157"/>
      <c r="DQ24" s="157">
        <f t="shared" si="33"/>
        <v>0</v>
      </c>
      <c r="DR24" s="157">
        <f t="shared" si="34"/>
        <v>0</v>
      </c>
      <c r="DS24" s="157">
        <f t="shared" si="35"/>
        <v>0</v>
      </c>
      <c r="DT24" s="157">
        <f t="shared" si="36"/>
        <v>0</v>
      </c>
      <c r="DU24" s="157">
        <f t="shared" si="37"/>
        <v>0</v>
      </c>
      <c r="DV24" t="str">
        <f t="shared" si="10"/>
        <v/>
      </c>
    </row>
    <row r="25" spans="1:126" ht="18.75" customHeight="1" x14ac:dyDescent="0.2">
      <c r="A25">
        <v>13</v>
      </c>
      <c r="B25" s="183" t="str">
        <f>IF(D25="","",IF(D25="重複","",COUNTIF(B$13:$B24,"&gt;0")+1))</f>
        <v/>
      </c>
      <c r="C25" s="264"/>
      <c r="D25" s="134"/>
      <c r="E25" s="134"/>
      <c r="F25" s="135"/>
      <c r="G25" s="136"/>
      <c r="H25" s="169">
        <f t="shared" si="11"/>
        <v>0</v>
      </c>
      <c r="I25" s="170" t="str">
        <f t="shared" si="12"/>
        <v/>
      </c>
      <c r="J25" s="138"/>
      <c r="K25" s="138"/>
      <c r="L25" s="138"/>
      <c r="M25" s="139"/>
      <c r="N25" s="146"/>
      <c r="O25" s="141"/>
      <c r="P25" s="336"/>
      <c r="Q25" s="142"/>
      <c r="R25" s="143"/>
      <c r="S25" s="143"/>
      <c r="T25" s="144"/>
      <c r="U25" s="143"/>
      <c r="V25" s="266"/>
      <c r="W25" s="145"/>
      <c r="X25" s="269"/>
      <c r="Y25" s="148" t="str">
        <f>IF($X25="○",VLOOKUP($AY25,参照データ!$D$89:$E$100,2),"")</f>
        <v/>
      </c>
      <c r="Z25" s="271"/>
      <c r="AA25" s="148" t="str">
        <f>IF($Z25="○",VLOOKUP($AY25,参照データ!$D$89:$J$100,6),"")</f>
        <v/>
      </c>
      <c r="AB25" s="271"/>
      <c r="AC25" s="148" t="str">
        <f>IF($AB25="○",VLOOKUP($AY25,参照データ!$D$89:$N$100,10),"")</f>
        <v/>
      </c>
      <c r="AD25" s="271"/>
      <c r="AE25" s="148" t="str">
        <f>IF($AD25="○",VLOOKUP($AY25,参照データ!$D$89:$Q$100,14),"")</f>
        <v/>
      </c>
      <c r="AF25" s="271"/>
      <c r="AG25" s="148" t="str">
        <f>IF($AF25="○",VLOOKUP($AY25,参照データ!$D$89:$Q$100,14),"")</f>
        <v/>
      </c>
      <c r="AH25" s="266"/>
      <c r="AI25" s="370" t="str">
        <f t="shared" si="38"/>
        <v/>
      </c>
      <c r="AJ25" s="498"/>
      <c r="AK25" s="497" t="str">
        <f>IF($AJ25="○",VLOOKUP($AY25,参照データ!$D$89:$U$100,18),"")</f>
        <v/>
      </c>
      <c r="AL25" s="170" t="str">
        <f t="shared" si="13"/>
        <v/>
      </c>
      <c r="AM25" s="269"/>
      <c r="AN25" s="413" t="str">
        <f>IF($AM25="○",VLOOKUP($CR25,参照データ!$D$143:$E$150,2),"")</f>
        <v/>
      </c>
      <c r="AO25" s="416"/>
      <c r="AP25" s="366" t="str">
        <f t="shared" si="14"/>
        <v/>
      </c>
      <c r="AQ25" s="465"/>
      <c r="AR25" s="466"/>
      <c r="AU25" s="273" t="str">
        <f t="shared" si="15"/>
        <v/>
      </c>
      <c r="AV25" s="274" t="str">
        <f t="shared" si="16"/>
        <v/>
      </c>
      <c r="AW25" s="226" t="e">
        <f t="shared" si="17"/>
        <v>#VALUE!</v>
      </c>
      <c r="AX25" t="e">
        <f>IF(AND(AW25&gt;=参照データ!$C$71,AW25&lt;=参照データ!$C$69),1,IF(AND(AW25&gt;=参照データ!$C$74,AW25&lt;=参照データ!$C$72),2,IF(AND(AW25&gt;=参照データ!$C$77,AW25&lt;=参照データ!$C$75),3,IF(AND(AW25&gt;=参照データ!$C$80,AW25&lt;=参照データ!$C$78),4,IF(AND(AW25&gt;=参照データ!$C$83,AW25&lt;=参照データ!$C$81),5,IF(AW25&lt;=参照データ!$C$84,6,0))))))</f>
        <v>#VALUE!</v>
      </c>
      <c r="AY25" t="e">
        <f>IF(AV25="男子",VLOOKUP(AX25,参照データ!$C$95:$D$100,2),AX25)</f>
        <v>#VALUE!</v>
      </c>
      <c r="AZ25" s="241" t="str">
        <f t="shared" si="2"/>
        <v/>
      </c>
      <c r="BA25" s="219" t="str">
        <f>IF($J25="○",VLOOKUP($AZ25,参照データ!$B$24:$G$41,3,0),"")</f>
        <v/>
      </c>
      <c r="BB25" s="220" t="str">
        <f>IF($K25="○",VLOOKUP($AZ25,参照データ!$B$24:$G$41,4,0),"")</f>
        <v/>
      </c>
      <c r="BC25" s="220" t="str">
        <f>IF($L25="○",VLOOKUP($AZ25,参照データ!$B$24:$G$41,5,0),"")</f>
        <v/>
      </c>
      <c r="BD25" s="220" t="str">
        <f>IF($M25="○",VLOOKUP($AZ25,参照データ!$B$24:$G$41,6,0),"")</f>
        <v/>
      </c>
      <c r="BE25" s="220" t="str">
        <f>IF($N25="○",VLOOKUP($AZ25,参照データ!$B$24:$H$41,7,0),"")</f>
        <v/>
      </c>
      <c r="BF25" s="221" t="str">
        <f>IF($O25="○",VLOOKUP($AZ25,参照データ!$B$24:$I$41,8,0),"")</f>
        <v/>
      </c>
      <c r="BG25" s="344" t="str">
        <f t="shared" si="18"/>
        <v/>
      </c>
      <c r="BH25" s="242" t="str">
        <f>IF($Q25="入門",VLOOKUP($AZ25,参照データ!$B$46:$U$63,3,0),IF($Q25="初級",VLOOKUP($AZ25,参照データ!$B$46:$U$63,4,0),IF($Q25="中級",VLOOKUP($AZ25,参照データ!$B$46:$U$63,5,0),IF($Q25="上級",VLOOKUP($AZ25,参照データ!$B$46:$U$63,6,0),""))))</f>
        <v/>
      </c>
      <c r="BI25" s="242" t="str">
        <f>IF($R25="初級",VLOOKUP($AZ25,参照データ!$B$46:$U$63,7,0),IF($R25="中級",VLOOKUP($AZ25,参照データ!$B$46:$U$63,8,0),IF($R25="上級",VLOOKUP($AZ25,参照データ!$B$46:$U$63,9,0),"")))</f>
        <v/>
      </c>
      <c r="BJ25" s="242" t="str">
        <f>IF($S25="初級",VLOOKUP($AZ25,参照データ!$B$46:$U$63,10,0),IF($S25="上級",VLOOKUP($AZ25,参照データ!$B$46:$U$63,11,0),""))</f>
        <v/>
      </c>
      <c r="BK25" s="242" t="str">
        <f>IF($T25="初級",VLOOKUP($AZ25,参照データ!$B$46:$U$63,15,0),IF($T25="中級",VLOOKUP($AZ25,参照データ!$B$46:$U$63,16,0),IF($T25="上級",VLOOKUP($AZ25,参照データ!$B$46:$U$63,17,0),"")))</f>
        <v/>
      </c>
      <c r="BL25" s="242" t="str">
        <f>IF($U25="初級",VLOOKUP($AZ25,参照データ!$B$46:$U$63,12,0),IF($U25="中級",VLOOKUP($AZ25,参照データ!$B$46:$U$63,13,0),IF($U25="上級",VLOOKUP($AZ25,参照データ!$B$46:$U$63,14,0),"")))</f>
        <v/>
      </c>
      <c r="BM25" s="21" t="str">
        <f t="shared" si="19"/>
        <v/>
      </c>
      <c r="BN25" s="21" t="str">
        <f>IF($V25="初級",VLOOKUP($AZ25,参照データ!$B$46:$U$63,18,0),IF($V25="中級",VLOOKUP($AZ25,参照データ!$B$46:$U$63,19,0),IF($V25="上級",VLOOKUP($AZ25,参照データ!$B$46:$U$63,20,0),"")))</f>
        <v/>
      </c>
      <c r="BO25" s="604">
        <v>7</v>
      </c>
      <c r="BP25" s="255" t="s">
        <v>252</v>
      </c>
      <c r="BQ25" s="251" t="str">
        <f t="shared" si="20"/>
        <v/>
      </c>
      <c r="BR25" s="594" t="str">
        <f>IF(OR($BQ25="",$BQ26=""),"",IF($BQ25&gt;$BQ26,$BQ25,$BQ26))</f>
        <v/>
      </c>
      <c r="BT25" s="241" t="e">
        <f t="shared" si="3"/>
        <v>#VALUE!</v>
      </c>
      <c r="BU25" s="245" t="str">
        <f>IF($X25="○",VLOOKUP($BT25,参照データ!$D$89:$F$100,3,0),"")</f>
        <v/>
      </c>
      <c r="BV25" s="246" t="str">
        <f t="shared" si="4"/>
        <v/>
      </c>
      <c r="BW25" s="245" t="str">
        <f>IF($Z25="○",VLOOKUP($BT25,参照データ!$D$89:$J$100,7,0),"")</f>
        <v/>
      </c>
      <c r="BX25" s="246" t="str">
        <f t="shared" si="5"/>
        <v/>
      </c>
      <c r="BY25" s="245" t="str">
        <f>IF($AB25="○",VLOOKUP($BT25,参照データ!$D$89:$N$100,11,0),"")</f>
        <v/>
      </c>
      <c r="BZ25" s="246" t="str">
        <f t="shared" si="6"/>
        <v/>
      </c>
      <c r="CA25" s="245" t="str">
        <f>IF($AD25="○",VLOOKUP($BT25,参照データ!$D$89:$T$100,17,0),"")</f>
        <v/>
      </c>
      <c r="CB25" s="246" t="str">
        <f t="shared" si="21"/>
        <v/>
      </c>
      <c r="CC25" s="245" t="str">
        <f>IF($AF25="○",VLOOKUP($BT25,参照データ!$D$89:$T$100,16,0),"")</f>
        <v/>
      </c>
      <c r="CD25" s="246" t="str">
        <f t="shared" si="22"/>
        <v/>
      </c>
      <c r="CE25" s="25">
        <f t="shared" si="23"/>
        <v>0</v>
      </c>
      <c r="CF25" s="312" t="e">
        <f t="shared" si="7"/>
        <v>#N/A</v>
      </c>
      <c r="CG25" s="300" t="str">
        <f t="shared" si="24"/>
        <v/>
      </c>
      <c r="CH25" s="648">
        <v>7</v>
      </c>
      <c r="CI25" s="256" t="s">
        <v>107</v>
      </c>
      <c r="CJ25" s="257" t="e">
        <f t="shared" si="8"/>
        <v>#N/A</v>
      </c>
      <c r="CK25" s="257" t="e">
        <f>VLOOKUP(CJ25,参照データ!$D$89:$R$100,15,0)</f>
        <v>#N/A</v>
      </c>
      <c r="CL25" s="649" t="e">
        <f>IF(OR($CJ25="",$CJ26=""),"",IF($CJ25&gt;$CJ26,$CK25,$CK26))</f>
        <v>#N/A</v>
      </c>
      <c r="CM25" s="289" t="e">
        <f>INDEX(参照データ!$Q$89:$Q$100,MATCH($CL25,参照データ!$R$89:$R$100,0))</f>
        <v>#N/A</v>
      </c>
      <c r="CN25" s="290" t="str">
        <f>IF($AJ25="○",VLOOKUP($BT25,参照データ!$D$89:$V$100,19,0),"")</f>
        <v/>
      </c>
      <c r="CO25" s="246" t="str">
        <f t="shared" si="25"/>
        <v/>
      </c>
      <c r="CQ25" t="e">
        <f>IF(AND($AW25&gt;=参照データ!$C$132,$AW25&lt;=参照データ!$C$130),1,IF(AND($AW25&gt;=参照データ!$C$135,$AW25&lt;=参照データ!$C$133),2,IF(AND($AW25&gt;=参照データ!$C$138,$AW25&lt;=参照データ!$C$136),3,IF($AW25&lt;=参照データ!$C$139,4,0))))</f>
        <v>#VALUE!</v>
      </c>
      <c r="CR25" t="e">
        <f>IF($AV25="男子",VLOOKUP(CQ25,参照データ!$C$143:$D$150,2),CQ25)</f>
        <v>#VALUE!</v>
      </c>
      <c r="CS25" s="388" t="e">
        <f t="shared" si="26"/>
        <v>#VALUE!</v>
      </c>
      <c r="CT25" s="389" t="str">
        <f>IF($AM25="○",VLOOKUP($CS25,参照データ!$D$143:$F$150,3,0),"")</f>
        <v/>
      </c>
      <c r="CU25" s="390" t="str">
        <f t="shared" si="27"/>
        <v/>
      </c>
      <c r="CV25">
        <f t="shared" si="39"/>
        <v>0</v>
      </c>
      <c r="CW25" s="312" t="e">
        <f t="shared" si="9"/>
        <v>#N/A</v>
      </c>
      <c r="CX25" s="391" t="str">
        <f t="shared" si="28"/>
        <v/>
      </c>
      <c r="CY25" s="724">
        <v>7</v>
      </c>
      <c r="CZ25" s="398" t="s">
        <v>107</v>
      </c>
      <c r="DA25" s="399" t="e">
        <f t="shared" si="40"/>
        <v>#N/A</v>
      </c>
      <c r="DB25" s="399" t="e">
        <f>VLOOKUP(DA25,参照データ!$D$143:$J$150,7,0)</f>
        <v>#N/A</v>
      </c>
      <c r="DC25" s="725" t="e">
        <f t="shared" ref="DC25" si="51">IF(OR($DA25="",$DA26=""),"",IF($DA25&gt;$DA26,$DB25,$DB26))</f>
        <v>#N/A</v>
      </c>
      <c r="DD25" s="400" t="e">
        <f>INDEX(参照データ!$I$143:$I$150,MATCH($DC25,参照データ!$J$143:$J$150,0))</f>
        <v>#N/A</v>
      </c>
      <c r="DF25" s="254">
        <f>(COUNTIF($J25:$O25,"&lt;&gt;"))*参照データ!$D$3</f>
        <v>0</v>
      </c>
      <c r="DG25" s="297">
        <f t="shared" si="29"/>
        <v>0</v>
      </c>
      <c r="DH25" s="157" cm="1">
        <f t="array" ref="DH25">(SUM(COUNTIF($Q25:$U25,{"入門","初級"}))*3000)+(SUM(COUNTIF($Q25:$U25,{"中級","上級"})*3500))</f>
        <v>0</v>
      </c>
      <c r="DI25" s="157">
        <f>IFERROR(VLOOKUP(V25,参照データ!$G$3:$I$6,3,0),0)</f>
        <v>0</v>
      </c>
      <c r="DJ25" s="469">
        <f t="shared" si="30"/>
        <v>0</v>
      </c>
      <c r="DK25" s="157">
        <f t="shared" si="31"/>
        <v>0</v>
      </c>
      <c r="DL25" s="157">
        <f t="shared" si="32"/>
        <v>0</v>
      </c>
      <c r="DM25" s="157">
        <f>(COUNTIF($AM25,"○"))*参照データ!$H$13</f>
        <v>0</v>
      </c>
      <c r="DN25" s="157">
        <f>(IF($AO25&gt;0,参照データ!$I$14,0))</f>
        <v>0</v>
      </c>
      <c r="DO25" s="249">
        <f t="array" ref="DO25">SUM(IF(ISERROR($DF25:$DN25),0,($DF25:$DN25)))</f>
        <v>0</v>
      </c>
      <c r="DP25" s="157"/>
      <c r="DQ25" s="157">
        <f t="shared" si="33"/>
        <v>0</v>
      </c>
      <c r="DR25" s="157">
        <f t="shared" si="34"/>
        <v>0</v>
      </c>
      <c r="DS25" s="157">
        <f t="shared" si="35"/>
        <v>0</v>
      </c>
      <c r="DT25" s="157">
        <f t="shared" si="36"/>
        <v>0</v>
      </c>
      <c r="DU25" s="157">
        <f t="shared" si="37"/>
        <v>0</v>
      </c>
      <c r="DV25" t="str">
        <f t="shared" si="10"/>
        <v/>
      </c>
    </row>
    <row r="26" spans="1:126" ht="18.75" customHeight="1" x14ac:dyDescent="0.2">
      <c r="A26">
        <v>14</v>
      </c>
      <c r="B26" s="183" t="str">
        <f>IF(D26="","",IF(D26="重複","",COUNTIF(B$13:$B25,"&gt;0")+1))</f>
        <v/>
      </c>
      <c r="C26" s="264"/>
      <c r="D26" s="134"/>
      <c r="E26" s="134"/>
      <c r="F26" s="135"/>
      <c r="G26" s="136"/>
      <c r="H26" s="169">
        <f t="shared" si="11"/>
        <v>0</v>
      </c>
      <c r="I26" s="170" t="str">
        <f t="shared" si="12"/>
        <v/>
      </c>
      <c r="J26" s="138"/>
      <c r="K26" s="138"/>
      <c r="L26" s="138"/>
      <c r="M26" s="139"/>
      <c r="N26" s="146"/>
      <c r="O26" s="141"/>
      <c r="P26" s="336"/>
      <c r="Q26" s="142"/>
      <c r="R26" s="143"/>
      <c r="S26" s="143"/>
      <c r="T26" s="144"/>
      <c r="U26" s="143"/>
      <c r="V26" s="266"/>
      <c r="W26" s="145"/>
      <c r="X26" s="269"/>
      <c r="Y26" s="148" t="str">
        <f>IF($X26="○",VLOOKUP($AY26,参照データ!$D$89:$E$100,2),"")</f>
        <v/>
      </c>
      <c r="Z26" s="271"/>
      <c r="AA26" s="148" t="str">
        <f>IF($Z26="○",VLOOKUP($AY26,参照データ!$D$89:$J$100,6),"")</f>
        <v/>
      </c>
      <c r="AB26" s="271"/>
      <c r="AC26" s="148" t="str">
        <f>IF($AB26="○",VLOOKUP($AY26,参照データ!$D$89:$N$100,10),"")</f>
        <v/>
      </c>
      <c r="AD26" s="271"/>
      <c r="AE26" s="148" t="str">
        <f>IF($AD26="○",VLOOKUP($AY26,参照データ!$D$89:$Q$100,14),"")</f>
        <v/>
      </c>
      <c r="AF26" s="271"/>
      <c r="AG26" s="148" t="str">
        <f>IF($AF26="○",VLOOKUP($AY26,参照データ!$D$89:$Q$100,14),"")</f>
        <v/>
      </c>
      <c r="AH26" s="266"/>
      <c r="AI26" s="370" t="str">
        <f t="shared" si="38"/>
        <v/>
      </c>
      <c r="AJ26" s="498"/>
      <c r="AK26" s="497" t="str">
        <f>IF($AJ26="○",VLOOKUP($AY26,参照データ!$D$89:$U$100,18),"")</f>
        <v/>
      </c>
      <c r="AL26" s="170" t="str">
        <f t="shared" si="13"/>
        <v/>
      </c>
      <c r="AM26" s="269"/>
      <c r="AN26" s="413" t="str">
        <f>IF($AM26="○",VLOOKUP($CR26,参照データ!$D$143:$E$150,2),"")</f>
        <v/>
      </c>
      <c r="AO26" s="416"/>
      <c r="AP26" s="366" t="str">
        <f t="shared" si="14"/>
        <v/>
      </c>
      <c r="AQ26" s="465"/>
      <c r="AR26" s="466"/>
      <c r="AU26" s="273" t="str">
        <f t="shared" si="15"/>
        <v/>
      </c>
      <c r="AV26" s="274" t="str">
        <f t="shared" si="16"/>
        <v/>
      </c>
      <c r="AW26" s="226" t="e">
        <f t="shared" si="17"/>
        <v>#VALUE!</v>
      </c>
      <c r="AX26" t="e">
        <f>IF(AND(AW26&gt;=参照データ!$C$71,AW26&lt;=参照データ!$C$69),1,IF(AND(AW26&gt;=参照データ!$C$74,AW26&lt;=参照データ!$C$72),2,IF(AND(AW26&gt;=参照データ!$C$77,AW26&lt;=参照データ!$C$75),3,IF(AND(AW26&gt;=参照データ!$C$80,AW26&lt;=参照データ!$C$78),4,IF(AND(AW26&gt;=参照データ!$C$83,AW26&lt;=参照データ!$C$81),5,IF(AW26&lt;=参照データ!$C$84,6,0))))))</f>
        <v>#VALUE!</v>
      </c>
      <c r="AY26" t="e">
        <f>IF(AV26="男子",VLOOKUP(AX26,参照データ!$C$95:$D$100,2),AX26)</f>
        <v>#VALUE!</v>
      </c>
      <c r="AZ26" s="241" t="str">
        <f t="shared" si="2"/>
        <v/>
      </c>
      <c r="BA26" s="219" t="str">
        <f>IF($J26="○",VLOOKUP($AZ26,参照データ!$B$24:$G$41,3,0),"")</f>
        <v/>
      </c>
      <c r="BB26" s="220" t="str">
        <f>IF($K26="○",VLOOKUP($AZ26,参照データ!$B$24:$G$41,4,0),"")</f>
        <v/>
      </c>
      <c r="BC26" s="220" t="str">
        <f>IF($L26="○",VLOOKUP($AZ26,参照データ!$B$24:$G$41,5,0),"")</f>
        <v/>
      </c>
      <c r="BD26" s="220" t="str">
        <f>IF($M26="○",VLOOKUP($AZ26,参照データ!$B$24:$G$41,6,0),"")</f>
        <v/>
      </c>
      <c r="BE26" s="220" t="str">
        <f>IF($N26="○",VLOOKUP($AZ26,参照データ!$B$24:$H$41,7,0),"")</f>
        <v/>
      </c>
      <c r="BF26" s="221" t="str">
        <f>IF($O26="○",VLOOKUP($AZ26,参照データ!$B$24:$I$41,8,0),"")</f>
        <v/>
      </c>
      <c r="BG26" s="344" t="str">
        <f t="shared" si="18"/>
        <v/>
      </c>
      <c r="BH26" s="242" t="str">
        <f>IF($Q26="入門",VLOOKUP($AZ26,参照データ!$B$46:$U$63,3,0),IF($Q26="初級",VLOOKUP($AZ26,参照データ!$B$46:$U$63,4,0),IF($Q26="中級",VLOOKUP($AZ26,参照データ!$B$46:$U$63,5,0),IF($Q26="上級",VLOOKUP($AZ26,参照データ!$B$46:$U$63,6,0),""))))</f>
        <v/>
      </c>
      <c r="BI26" s="242" t="str">
        <f>IF($R26="初級",VLOOKUP($AZ26,参照データ!$B$46:$U$63,7,0),IF($R26="中級",VLOOKUP($AZ26,参照データ!$B$46:$U$63,8,0),IF($R26="上級",VLOOKUP($AZ26,参照データ!$B$46:$U$63,9,0),"")))</f>
        <v/>
      </c>
      <c r="BJ26" s="242" t="str">
        <f>IF($S26="初級",VLOOKUP($AZ26,参照データ!$B$46:$U$63,10,0),IF($S26="上級",VLOOKUP($AZ26,参照データ!$B$46:$U$63,11,0),""))</f>
        <v/>
      </c>
      <c r="BK26" s="242" t="str">
        <f>IF($T26="初級",VLOOKUP($AZ26,参照データ!$B$46:$U$63,15,0),IF($T26="中級",VLOOKUP($AZ26,参照データ!$B$46:$U$63,16,0),IF($T26="上級",VLOOKUP($AZ26,参照データ!$B$46:$U$63,17,0),"")))</f>
        <v/>
      </c>
      <c r="BL26" s="242" t="str">
        <f>IF($U26="初級",VLOOKUP($AZ26,参照データ!$B$46:$U$63,12,0),IF($U26="中級",VLOOKUP($AZ26,参照データ!$B$46:$U$63,13,0),IF($U26="上級",VLOOKUP($AZ26,参照データ!$B$46:$U$63,14,0),"")))</f>
        <v/>
      </c>
      <c r="BM26" s="21" t="str">
        <f t="shared" si="19"/>
        <v/>
      </c>
      <c r="BN26" s="21" t="str">
        <f>IF($V26="初級",VLOOKUP($AZ26,参照データ!$B$46:$U$63,18,0),IF($V26="中級",VLOOKUP($AZ26,参照データ!$B$46:$U$63,19,0),IF($V26="上級",VLOOKUP($AZ26,参照データ!$B$46:$U$63,20,0),"")))</f>
        <v/>
      </c>
      <c r="BO26" s="587"/>
      <c r="BP26" s="250" t="s">
        <v>253</v>
      </c>
      <c r="BQ26" s="251" t="str">
        <f t="shared" si="20"/>
        <v/>
      </c>
      <c r="BR26" s="595"/>
      <c r="BT26" s="241" t="e">
        <f t="shared" si="3"/>
        <v>#VALUE!</v>
      </c>
      <c r="BU26" s="245" t="str">
        <f>IF($X26="○",VLOOKUP($BT26,参照データ!$D$89:$F$100,3,0),"")</f>
        <v/>
      </c>
      <c r="BV26" s="246" t="str">
        <f t="shared" si="4"/>
        <v/>
      </c>
      <c r="BW26" s="245" t="str">
        <f>IF($Z26="○",VLOOKUP($BT26,参照データ!$D$89:$J$100,7,0),"")</f>
        <v/>
      </c>
      <c r="BX26" s="246" t="str">
        <f t="shared" si="5"/>
        <v/>
      </c>
      <c r="BY26" s="245" t="str">
        <f>IF($AB26="○",VLOOKUP($BT26,参照データ!$D$89:$N$100,11,0),"")</f>
        <v/>
      </c>
      <c r="BZ26" s="246" t="str">
        <f t="shared" si="6"/>
        <v/>
      </c>
      <c r="CA26" s="245" t="str">
        <f>IF($AD26="○",VLOOKUP($BT26,参照データ!$D$89:$T$100,17,0),"")</f>
        <v/>
      </c>
      <c r="CB26" s="246" t="str">
        <f t="shared" si="21"/>
        <v/>
      </c>
      <c r="CC26" s="245" t="str">
        <f>IF($AF26="○",VLOOKUP($BT26,参照データ!$D$89:$T$100,16,0),"")</f>
        <v/>
      </c>
      <c r="CD26" s="246" t="str">
        <f t="shared" si="22"/>
        <v/>
      </c>
      <c r="CE26" s="25">
        <f t="shared" si="23"/>
        <v>0</v>
      </c>
      <c r="CF26" s="312" t="e">
        <f t="shared" si="7"/>
        <v>#N/A</v>
      </c>
      <c r="CG26" s="300" t="str">
        <f t="shared" si="24"/>
        <v/>
      </c>
      <c r="CH26" s="645"/>
      <c r="CI26" s="252" t="s">
        <v>108</v>
      </c>
      <c r="CJ26" s="253" t="e">
        <f t="shared" si="8"/>
        <v>#N/A</v>
      </c>
      <c r="CK26" s="253" t="e">
        <f>VLOOKUP(CJ26,参照データ!$D$89:$R$100,15,0)</f>
        <v>#N/A</v>
      </c>
      <c r="CL26" s="647"/>
      <c r="CM26" s="288" t="e">
        <f>CM25</f>
        <v>#N/A</v>
      </c>
      <c r="CN26" s="290" t="str">
        <f>IF($AJ26="○",VLOOKUP($BT26,参照データ!$D$89:$V$100,19,0),"")</f>
        <v/>
      </c>
      <c r="CO26" s="246" t="str">
        <f t="shared" si="25"/>
        <v/>
      </c>
      <c r="CQ26" t="e">
        <f>IF(AND($AW26&gt;=参照データ!$C$132,$AW26&lt;=参照データ!$C$130),1,IF(AND($AW26&gt;=参照データ!$C$135,$AW26&lt;=参照データ!$C$133),2,IF(AND($AW26&gt;=参照データ!$C$138,$AW26&lt;=参照データ!$C$136),3,IF($AW26&lt;=参照データ!$C$139,4,0))))</f>
        <v>#VALUE!</v>
      </c>
      <c r="CR26" t="e">
        <f>IF($AV26="男子",VLOOKUP(CQ26,参照データ!$C$143:$D$150,2),CQ26)</f>
        <v>#VALUE!</v>
      </c>
      <c r="CS26" s="388" t="e">
        <f t="shared" si="26"/>
        <v>#VALUE!</v>
      </c>
      <c r="CT26" s="389" t="str">
        <f>IF($AM26="○",VLOOKUP($CS26,参照データ!$D$143:$F$150,3,0),"")</f>
        <v/>
      </c>
      <c r="CU26" s="390" t="str">
        <f t="shared" ref="CU26:CU72" si="52">IF($CT26="","",IF($F26="","at","Mat"))</f>
        <v/>
      </c>
      <c r="CV26">
        <f t="shared" si="39"/>
        <v>0</v>
      </c>
      <c r="CW26" s="312" t="e">
        <f t="shared" si="9"/>
        <v>#N/A</v>
      </c>
      <c r="CX26" s="391" t="str">
        <f t="shared" si="28"/>
        <v/>
      </c>
      <c r="CY26" s="721"/>
      <c r="CZ26" s="395" t="s">
        <v>108</v>
      </c>
      <c r="DA26" s="396" t="e">
        <f t="shared" si="40"/>
        <v>#N/A</v>
      </c>
      <c r="DB26" s="396" t="e">
        <f>VLOOKUP(DA26,参照データ!$D$143:$J$150,7,0)</f>
        <v>#N/A</v>
      </c>
      <c r="DC26" s="723"/>
      <c r="DD26" s="397" t="e">
        <f t="shared" ref="DD26" si="53">DD25</f>
        <v>#N/A</v>
      </c>
      <c r="DF26" s="254">
        <f>(COUNTIF($J26:$O26,"&lt;&gt;"))*参照データ!$D$3</f>
        <v>0</v>
      </c>
      <c r="DG26" s="297">
        <f t="shared" si="29"/>
        <v>0</v>
      </c>
      <c r="DH26" s="157" cm="1">
        <f t="array" ref="DH26">(SUM(COUNTIF($Q26:$U26,{"入門","初級"}))*3000)+(SUM(COUNTIF($Q26:$U26,{"中級","上級"})*3500))</f>
        <v>0</v>
      </c>
      <c r="DI26" s="157">
        <f>IFERROR(VLOOKUP(V26,参照データ!$G$3:$I$6,3,0),0)</f>
        <v>0</v>
      </c>
      <c r="DJ26" s="469">
        <f t="shared" si="30"/>
        <v>0</v>
      </c>
      <c r="DK26" s="157">
        <f t="shared" si="31"/>
        <v>0</v>
      </c>
      <c r="DL26" s="157">
        <f t="shared" si="32"/>
        <v>0</v>
      </c>
      <c r="DM26" s="157">
        <f>(COUNTIF($AM26,"○"))*参照データ!$H$13</f>
        <v>0</v>
      </c>
      <c r="DN26" s="157">
        <f>(IF($AO26&gt;0,参照データ!$I$14,0))</f>
        <v>0</v>
      </c>
      <c r="DO26" s="249">
        <f t="array" ref="DO26">SUM(IF(ISERROR($DF26:$DN26),0,($DF26:$DN26)))</f>
        <v>0</v>
      </c>
      <c r="DP26" s="157"/>
      <c r="DQ26" s="157">
        <f t="shared" si="33"/>
        <v>0</v>
      </c>
      <c r="DR26" s="157">
        <f t="shared" si="34"/>
        <v>0</v>
      </c>
      <c r="DS26" s="157">
        <f t="shared" si="35"/>
        <v>0</v>
      </c>
      <c r="DT26" s="157">
        <f t="shared" si="36"/>
        <v>0</v>
      </c>
      <c r="DU26" s="157">
        <f t="shared" si="37"/>
        <v>0</v>
      </c>
      <c r="DV26" t="str">
        <f t="shared" si="10"/>
        <v/>
      </c>
    </row>
    <row r="27" spans="1:126" ht="18.75" customHeight="1" x14ac:dyDescent="0.2">
      <c r="A27">
        <v>15</v>
      </c>
      <c r="B27" s="183" t="str">
        <f>IF(D27="","",IF(D27="重複","",COUNTIF(B$13:$B26,"&gt;0")+1))</f>
        <v/>
      </c>
      <c r="C27" s="264"/>
      <c r="D27" s="134"/>
      <c r="E27" s="134"/>
      <c r="F27" s="135"/>
      <c r="G27" s="136"/>
      <c r="H27" s="169">
        <f t="shared" si="11"/>
        <v>0</v>
      </c>
      <c r="I27" s="170" t="str">
        <f t="shared" si="12"/>
        <v/>
      </c>
      <c r="J27" s="138"/>
      <c r="K27" s="138"/>
      <c r="L27" s="138"/>
      <c r="M27" s="139"/>
      <c r="N27" s="146"/>
      <c r="O27" s="141"/>
      <c r="P27" s="336"/>
      <c r="Q27" s="142"/>
      <c r="R27" s="143"/>
      <c r="S27" s="143"/>
      <c r="T27" s="144"/>
      <c r="U27" s="143"/>
      <c r="V27" s="266"/>
      <c r="W27" s="145"/>
      <c r="X27" s="269"/>
      <c r="Y27" s="148" t="str">
        <f>IF($X27="○",VLOOKUP($AY27,参照データ!$D$89:$E$100,2),"")</f>
        <v/>
      </c>
      <c r="Z27" s="271"/>
      <c r="AA27" s="148" t="str">
        <f>IF($Z27="○",VLOOKUP($AY27,参照データ!$D$89:$J$100,6),"")</f>
        <v/>
      </c>
      <c r="AB27" s="271"/>
      <c r="AC27" s="148" t="str">
        <f>IF($AB27="○",VLOOKUP($AY27,参照データ!$D$89:$N$100,10),"")</f>
        <v/>
      </c>
      <c r="AD27" s="271"/>
      <c r="AE27" s="148" t="str">
        <f>IF($AD27="○",VLOOKUP($AY27,参照データ!$D$89:$Q$100,14),"")</f>
        <v/>
      </c>
      <c r="AF27" s="271"/>
      <c r="AG27" s="148" t="str">
        <f>IF($AF27="○",VLOOKUP($AY27,参照データ!$D$89:$Q$100,14),"")</f>
        <v/>
      </c>
      <c r="AH27" s="266"/>
      <c r="AI27" s="370" t="str">
        <f t="shared" si="38"/>
        <v/>
      </c>
      <c r="AJ27" s="498"/>
      <c r="AK27" s="497" t="str">
        <f>IF($AJ27="○",VLOOKUP($AY27,参照データ!$D$89:$U$100,18),"")</f>
        <v/>
      </c>
      <c r="AL27" s="170" t="str">
        <f t="shared" si="13"/>
        <v/>
      </c>
      <c r="AM27" s="269"/>
      <c r="AN27" s="413" t="str">
        <f>IF($AM27="○",VLOOKUP($CR27,参照データ!$D$143:$E$150,2),"")</f>
        <v/>
      </c>
      <c r="AO27" s="416"/>
      <c r="AP27" s="366" t="str">
        <f t="shared" si="14"/>
        <v/>
      </c>
      <c r="AQ27" s="465"/>
      <c r="AR27" s="466"/>
      <c r="AU27" s="273" t="str">
        <f t="shared" si="15"/>
        <v/>
      </c>
      <c r="AV27" s="274" t="str">
        <f t="shared" si="16"/>
        <v/>
      </c>
      <c r="AW27" s="226" t="e">
        <f t="shared" si="17"/>
        <v>#VALUE!</v>
      </c>
      <c r="AX27" t="e">
        <f>IF(AND(AW27&gt;=参照データ!$C$71,AW27&lt;=参照データ!$C$69),1,IF(AND(AW27&gt;=参照データ!$C$74,AW27&lt;=参照データ!$C$72),2,IF(AND(AW27&gt;=参照データ!$C$77,AW27&lt;=参照データ!$C$75),3,IF(AND(AW27&gt;=参照データ!$C$80,AW27&lt;=参照データ!$C$78),4,IF(AND(AW27&gt;=参照データ!$C$83,AW27&lt;=参照データ!$C$81),5,IF(AW27&lt;=参照データ!$C$84,6,0))))))</f>
        <v>#VALUE!</v>
      </c>
      <c r="AY27" t="e">
        <f>IF(AV27="男子",VLOOKUP(AX27,参照データ!$C$95:$D$100,2),AX27)</f>
        <v>#VALUE!</v>
      </c>
      <c r="AZ27" s="241" t="str">
        <f t="shared" si="2"/>
        <v/>
      </c>
      <c r="BA27" s="219" t="str">
        <f>IF($J27="○",VLOOKUP($AZ27,参照データ!$B$24:$G$41,3,0),"")</f>
        <v/>
      </c>
      <c r="BB27" s="220" t="str">
        <f>IF($K27="○",VLOOKUP($AZ27,参照データ!$B$24:$G$41,4,0),"")</f>
        <v/>
      </c>
      <c r="BC27" s="220" t="str">
        <f>IF($L27="○",VLOOKUP($AZ27,参照データ!$B$24:$G$41,5,0),"")</f>
        <v/>
      </c>
      <c r="BD27" s="220" t="str">
        <f>IF($M27="○",VLOOKUP($AZ27,参照データ!$B$24:$G$41,6,0),"")</f>
        <v/>
      </c>
      <c r="BE27" s="220" t="str">
        <f>IF($N27="○",VLOOKUP($AZ27,参照データ!$B$24:$H$41,7,0),"")</f>
        <v/>
      </c>
      <c r="BF27" s="221" t="str">
        <f>IF($O27="○",VLOOKUP($AZ27,参照データ!$B$24:$I$41,8,0),"")</f>
        <v/>
      </c>
      <c r="BG27" s="344" t="str">
        <f t="shared" si="18"/>
        <v/>
      </c>
      <c r="BH27" s="242" t="str">
        <f>IF($Q27="入門",VLOOKUP($AZ27,参照データ!$B$46:$U$63,3,0),IF($Q27="初級",VLOOKUP($AZ27,参照データ!$B$46:$U$63,4,0),IF($Q27="中級",VLOOKUP($AZ27,参照データ!$B$46:$U$63,5,0),IF($Q27="上級",VLOOKUP($AZ27,参照データ!$B$46:$U$63,6,0),""))))</f>
        <v/>
      </c>
      <c r="BI27" s="242" t="str">
        <f>IF($R27="初級",VLOOKUP($AZ27,参照データ!$B$46:$U$63,7,0),IF($R27="中級",VLOOKUP($AZ27,参照データ!$B$46:$U$63,8,0),IF($R27="上級",VLOOKUP($AZ27,参照データ!$B$46:$U$63,9,0),"")))</f>
        <v/>
      </c>
      <c r="BJ27" s="242" t="str">
        <f>IF($S27="初級",VLOOKUP($AZ27,参照データ!$B$46:$U$63,10,0),IF($S27="上級",VLOOKUP($AZ27,参照データ!$B$46:$U$63,11,0),""))</f>
        <v/>
      </c>
      <c r="BK27" s="242" t="str">
        <f>IF($T27="初級",VLOOKUP($AZ27,参照データ!$B$46:$U$63,15,0),IF($T27="中級",VLOOKUP($AZ27,参照データ!$B$46:$U$63,16,0),IF($T27="上級",VLOOKUP($AZ27,参照データ!$B$46:$U$63,17,0),"")))</f>
        <v/>
      </c>
      <c r="BL27" s="242" t="str">
        <f>IF($U27="初級",VLOOKUP($AZ27,参照データ!$B$46:$U$63,12,0),IF($U27="中級",VLOOKUP($AZ27,参照データ!$B$46:$U$63,13,0),IF($U27="上級",VLOOKUP($AZ27,参照データ!$B$46:$U$63,14,0),"")))</f>
        <v/>
      </c>
      <c r="BM27" s="21" t="str">
        <f t="shared" si="19"/>
        <v/>
      </c>
      <c r="BN27" s="21" t="str">
        <f>IF($V27="初級",VLOOKUP($AZ27,参照データ!$B$46:$U$63,18,0),IF($V27="中級",VLOOKUP($AZ27,参照データ!$B$46:$U$63,19,0),IF($V27="上級",VLOOKUP($AZ27,参照データ!$B$46:$U$63,20,0),"")))</f>
        <v/>
      </c>
      <c r="BO27" s="604">
        <v>8</v>
      </c>
      <c r="BP27" s="255" t="s">
        <v>254</v>
      </c>
      <c r="BQ27" s="251" t="str">
        <f t="shared" si="20"/>
        <v/>
      </c>
      <c r="BR27" s="594" t="str">
        <f>IF(OR($BQ27="",$BQ28=""),"",IF($BQ27&gt;$BQ28,$BQ27,$BQ28))</f>
        <v/>
      </c>
      <c r="BT27" s="241" t="e">
        <f t="shared" si="3"/>
        <v>#VALUE!</v>
      </c>
      <c r="BU27" s="245" t="str">
        <f>IF($X27="○",VLOOKUP($BT27,参照データ!$D$89:$F$100,3,0),"")</f>
        <v/>
      </c>
      <c r="BV27" s="246" t="str">
        <f t="shared" si="4"/>
        <v/>
      </c>
      <c r="BW27" s="245" t="str">
        <f>IF($Z27="○",VLOOKUP($BT27,参照データ!$D$89:$J$100,7,0),"")</f>
        <v/>
      </c>
      <c r="BX27" s="246" t="str">
        <f t="shared" si="5"/>
        <v/>
      </c>
      <c r="BY27" s="245" t="str">
        <f>IF($AB27="○",VLOOKUP($BT27,参照データ!$D$89:$N$100,11,0),"")</f>
        <v/>
      </c>
      <c r="BZ27" s="246" t="str">
        <f t="shared" si="6"/>
        <v/>
      </c>
      <c r="CA27" s="245" t="str">
        <f>IF($AD27="○",VLOOKUP($BT27,参照データ!$D$89:$T$100,17,0),"")</f>
        <v/>
      </c>
      <c r="CB27" s="246" t="str">
        <f t="shared" si="21"/>
        <v/>
      </c>
      <c r="CC27" s="245" t="str">
        <f>IF($AF27="○",VLOOKUP($BT27,参照データ!$D$89:$T$100,16,0),"")</f>
        <v/>
      </c>
      <c r="CD27" s="246" t="str">
        <f t="shared" si="22"/>
        <v/>
      </c>
      <c r="CE27" s="25">
        <f t="shared" si="23"/>
        <v>0</v>
      </c>
      <c r="CF27" s="312" t="e">
        <f t="shared" si="7"/>
        <v>#N/A</v>
      </c>
      <c r="CG27" s="300" t="str">
        <f t="shared" si="24"/>
        <v/>
      </c>
      <c r="CH27" s="648">
        <v>8</v>
      </c>
      <c r="CI27" s="256" t="s">
        <v>109</v>
      </c>
      <c r="CJ27" s="257" t="e">
        <f t="shared" si="8"/>
        <v>#N/A</v>
      </c>
      <c r="CK27" s="257" t="e">
        <f>VLOOKUP(CJ27,参照データ!$D$89:$R$100,15,0)</f>
        <v>#N/A</v>
      </c>
      <c r="CL27" s="649" t="e">
        <f>IF(OR($CJ27="",$CJ28=""),"",IF($CJ27&gt;$CJ28,$CK27,$CK28))</f>
        <v>#N/A</v>
      </c>
      <c r="CM27" s="289" t="e">
        <f>INDEX(参照データ!$Q$89:$Q$100,MATCH($CL27,参照データ!$R$89:$R$100,0))</f>
        <v>#N/A</v>
      </c>
      <c r="CN27" s="290" t="str">
        <f>IF($AJ27="○",VLOOKUP($BT27,参照データ!$D$89:$V$100,19,0),"")</f>
        <v/>
      </c>
      <c r="CO27" s="246" t="str">
        <f t="shared" si="25"/>
        <v/>
      </c>
      <c r="CQ27" t="e">
        <f>IF(AND($AW27&gt;=参照データ!$C$132,$AW27&lt;=参照データ!$C$130),1,IF(AND($AW27&gt;=参照データ!$C$135,$AW27&lt;=参照データ!$C$133),2,IF(AND($AW27&gt;=参照データ!$C$138,$AW27&lt;=参照データ!$C$136),3,IF($AW27&lt;=参照データ!$C$139,4,0))))</f>
        <v>#VALUE!</v>
      </c>
      <c r="CR27" t="e">
        <f>IF($AV27="男子",VLOOKUP(CQ27,参照データ!$C$143:$D$150,2),CQ27)</f>
        <v>#VALUE!</v>
      </c>
      <c r="CS27" s="388" t="e">
        <f t="shared" si="26"/>
        <v>#VALUE!</v>
      </c>
      <c r="CT27" s="389" t="str">
        <f>IF($AM27="○",VLOOKUP($CS27,参照データ!$D$143:$F$150,3,0),"")</f>
        <v/>
      </c>
      <c r="CU27" s="390" t="str">
        <f t="shared" si="52"/>
        <v/>
      </c>
      <c r="CV27">
        <f t="shared" si="39"/>
        <v>0</v>
      </c>
      <c r="CW27" s="312" t="e">
        <f t="shared" si="9"/>
        <v>#N/A</v>
      </c>
      <c r="CX27" s="391" t="str">
        <f t="shared" si="28"/>
        <v/>
      </c>
      <c r="CY27" s="724">
        <v>8</v>
      </c>
      <c r="CZ27" s="398" t="s">
        <v>109</v>
      </c>
      <c r="DA27" s="399" t="e">
        <f t="shared" si="40"/>
        <v>#N/A</v>
      </c>
      <c r="DB27" s="399" t="e">
        <f>VLOOKUP(DA27,参照データ!$D$143:$J$150,7,0)</f>
        <v>#N/A</v>
      </c>
      <c r="DC27" s="725" t="e">
        <f t="shared" ref="DC27" si="54">IF(OR($DA27="",$DA28=""),"",IF($DA27&gt;$DA28,$DB27,$DB28))</f>
        <v>#N/A</v>
      </c>
      <c r="DD27" s="400" t="e">
        <f>INDEX(参照データ!$I$143:$I$150,MATCH($DC27,参照データ!$J$143:$J$150,0))</f>
        <v>#N/A</v>
      </c>
      <c r="DF27" s="254">
        <f>(COUNTIF($J27:$O27,"&lt;&gt;"))*参照データ!$D$3</f>
        <v>0</v>
      </c>
      <c r="DG27" s="297">
        <f t="shared" si="29"/>
        <v>0</v>
      </c>
      <c r="DH27" s="157" cm="1">
        <f t="array" ref="DH27">(SUM(COUNTIF($Q27:$U27,{"入門","初級"}))*3000)+(SUM(COUNTIF($Q27:$U27,{"中級","上級"})*3500))</f>
        <v>0</v>
      </c>
      <c r="DI27" s="157">
        <f>IFERROR(VLOOKUP(V27,参照データ!$G$3:$I$6,3,0),0)</f>
        <v>0</v>
      </c>
      <c r="DJ27" s="469">
        <f t="shared" si="30"/>
        <v>0</v>
      </c>
      <c r="DK27" s="157">
        <f t="shared" si="31"/>
        <v>0</v>
      </c>
      <c r="DL27" s="157">
        <f t="shared" si="32"/>
        <v>0</v>
      </c>
      <c r="DM27" s="157">
        <f>(COUNTIF($AM27,"○"))*参照データ!$H$13</f>
        <v>0</v>
      </c>
      <c r="DN27" s="157">
        <f>(IF($AO27&gt;0,参照データ!$I$14,0))</f>
        <v>0</v>
      </c>
      <c r="DO27" s="249">
        <f t="array" ref="DO27">SUM(IF(ISERROR($DF27:$DN27),0,($DF27:$DN27)))</f>
        <v>0</v>
      </c>
      <c r="DP27" s="157"/>
      <c r="DQ27" s="157">
        <f t="shared" si="33"/>
        <v>0</v>
      </c>
      <c r="DR27" s="157">
        <f t="shared" si="34"/>
        <v>0</v>
      </c>
      <c r="DS27" s="157">
        <f t="shared" si="35"/>
        <v>0</v>
      </c>
      <c r="DT27" s="157">
        <f t="shared" si="36"/>
        <v>0</v>
      </c>
      <c r="DU27" s="157">
        <f t="shared" si="37"/>
        <v>0</v>
      </c>
      <c r="DV27" t="str">
        <f t="shared" si="10"/>
        <v/>
      </c>
    </row>
    <row r="28" spans="1:126" ht="18.75" customHeight="1" x14ac:dyDescent="0.2">
      <c r="A28">
        <v>16</v>
      </c>
      <c r="B28" s="183" t="str">
        <f>IF(D28="","",IF(D28="重複","",COUNTIF(B$13:$B27,"&gt;0")+1))</f>
        <v/>
      </c>
      <c r="C28" s="264"/>
      <c r="D28" s="134"/>
      <c r="E28" s="134"/>
      <c r="F28" s="135"/>
      <c r="G28" s="136"/>
      <c r="H28" s="169">
        <f t="shared" si="11"/>
        <v>0</v>
      </c>
      <c r="I28" s="170" t="str">
        <f t="shared" si="12"/>
        <v/>
      </c>
      <c r="J28" s="138"/>
      <c r="K28" s="138"/>
      <c r="L28" s="138"/>
      <c r="M28" s="139"/>
      <c r="N28" s="146"/>
      <c r="O28" s="141"/>
      <c r="P28" s="336"/>
      <c r="Q28" s="142"/>
      <c r="R28" s="143"/>
      <c r="S28" s="143"/>
      <c r="T28" s="144"/>
      <c r="U28" s="143"/>
      <c r="V28" s="266"/>
      <c r="W28" s="145"/>
      <c r="X28" s="269"/>
      <c r="Y28" s="148" t="str">
        <f>IF($X28="○",VLOOKUP($AY28,参照データ!$D$89:$E$100,2),"")</f>
        <v/>
      </c>
      <c r="Z28" s="271"/>
      <c r="AA28" s="148" t="str">
        <f>IF($Z28="○",VLOOKUP($AY28,参照データ!$D$89:$J$100,6),"")</f>
        <v/>
      </c>
      <c r="AB28" s="271"/>
      <c r="AC28" s="148" t="str">
        <f>IF($AB28="○",VLOOKUP($AY28,参照データ!$D$89:$N$100,10),"")</f>
        <v/>
      </c>
      <c r="AD28" s="271"/>
      <c r="AE28" s="148" t="str">
        <f>IF($AD28="○",VLOOKUP($AY28,参照データ!$D$89:$Q$100,14),"")</f>
        <v/>
      </c>
      <c r="AF28" s="271"/>
      <c r="AG28" s="148" t="str">
        <f>IF($AF28="○",VLOOKUP($AY28,参照データ!$D$89:$Q$100,14),"")</f>
        <v/>
      </c>
      <c r="AH28" s="266"/>
      <c r="AI28" s="370" t="str">
        <f t="shared" si="38"/>
        <v/>
      </c>
      <c r="AJ28" s="498"/>
      <c r="AK28" s="497" t="str">
        <f>IF($AJ28="○",VLOOKUP($AY28,参照データ!$D$89:$U$100,18),"")</f>
        <v/>
      </c>
      <c r="AL28" s="170" t="str">
        <f t="shared" si="13"/>
        <v/>
      </c>
      <c r="AM28" s="269"/>
      <c r="AN28" s="413" t="str">
        <f>IF($AM28="○",VLOOKUP($CR28,参照データ!$D$143:$E$150,2),"")</f>
        <v/>
      </c>
      <c r="AO28" s="416"/>
      <c r="AP28" s="366" t="str">
        <f t="shared" si="14"/>
        <v/>
      </c>
      <c r="AQ28" s="465"/>
      <c r="AR28" s="466"/>
      <c r="AU28" s="273" t="str">
        <f t="shared" si="15"/>
        <v/>
      </c>
      <c r="AV28" s="274" t="str">
        <f t="shared" si="16"/>
        <v/>
      </c>
      <c r="AW28" s="226" t="e">
        <f t="shared" si="17"/>
        <v>#VALUE!</v>
      </c>
      <c r="AX28" t="e">
        <f>IF(AND(AW28&gt;=参照データ!$C$71,AW28&lt;=参照データ!$C$69),1,IF(AND(AW28&gt;=参照データ!$C$74,AW28&lt;=参照データ!$C$72),2,IF(AND(AW28&gt;=参照データ!$C$77,AW28&lt;=参照データ!$C$75),3,IF(AND(AW28&gt;=参照データ!$C$80,AW28&lt;=参照データ!$C$78),4,IF(AND(AW28&gt;=参照データ!$C$83,AW28&lt;=参照データ!$C$81),5,IF(AW28&lt;=参照データ!$C$84,6,0))))))</f>
        <v>#VALUE!</v>
      </c>
      <c r="AY28" t="e">
        <f>IF(AV28="男子",VLOOKUP(AX28,参照データ!$C$95:$D$100,2),AX28)</f>
        <v>#VALUE!</v>
      </c>
      <c r="AZ28" s="241" t="str">
        <f t="shared" si="2"/>
        <v/>
      </c>
      <c r="BA28" s="219" t="str">
        <f>IF($J28="○",VLOOKUP($AZ28,参照データ!$B$24:$G$41,3,0),"")</f>
        <v/>
      </c>
      <c r="BB28" s="220" t="str">
        <f>IF($K28="○",VLOOKUP($AZ28,参照データ!$B$24:$G$41,4,0),"")</f>
        <v/>
      </c>
      <c r="BC28" s="220" t="str">
        <f>IF($L28="○",VLOOKUP($AZ28,参照データ!$B$24:$G$41,5,0),"")</f>
        <v/>
      </c>
      <c r="BD28" s="220" t="str">
        <f>IF($M28="○",VLOOKUP($AZ28,参照データ!$B$24:$G$41,6,0),"")</f>
        <v/>
      </c>
      <c r="BE28" s="220" t="str">
        <f>IF($N28="○",VLOOKUP($AZ28,参照データ!$B$24:$H$41,7,0),"")</f>
        <v/>
      </c>
      <c r="BF28" s="221" t="str">
        <f>IF($O28="○",VLOOKUP($AZ28,参照データ!$B$24:$I$41,8,0),"")</f>
        <v/>
      </c>
      <c r="BG28" s="344" t="str">
        <f t="shared" si="18"/>
        <v/>
      </c>
      <c r="BH28" s="242" t="str">
        <f>IF($Q28="入門",VLOOKUP($AZ28,参照データ!$B$46:$U$63,3,0),IF($Q28="初級",VLOOKUP($AZ28,参照データ!$B$46:$U$63,4,0),IF($Q28="中級",VLOOKUP($AZ28,参照データ!$B$46:$U$63,5,0),IF($Q28="上級",VLOOKUP($AZ28,参照データ!$B$46:$U$63,6,0),""))))</f>
        <v/>
      </c>
      <c r="BI28" s="242" t="str">
        <f>IF($R28="初級",VLOOKUP($AZ28,参照データ!$B$46:$U$63,7,0),IF($R28="中級",VLOOKUP($AZ28,参照データ!$B$46:$U$63,8,0),IF($R28="上級",VLOOKUP($AZ28,参照データ!$B$46:$U$63,9,0),"")))</f>
        <v/>
      </c>
      <c r="BJ28" s="242" t="str">
        <f>IF($S28="初級",VLOOKUP($AZ28,参照データ!$B$46:$U$63,10,0),IF($S28="上級",VLOOKUP($AZ28,参照データ!$B$46:$U$63,11,0),""))</f>
        <v/>
      </c>
      <c r="BK28" s="242" t="str">
        <f>IF($T28="初級",VLOOKUP($AZ28,参照データ!$B$46:$U$63,15,0),IF($T28="中級",VLOOKUP($AZ28,参照データ!$B$46:$U$63,16,0),IF($T28="上級",VLOOKUP($AZ28,参照データ!$B$46:$U$63,17,0),"")))</f>
        <v/>
      </c>
      <c r="BL28" s="242" t="str">
        <f>IF($U28="初級",VLOOKUP($AZ28,参照データ!$B$46:$U$63,12,0),IF($U28="中級",VLOOKUP($AZ28,参照データ!$B$46:$U$63,13,0),IF($U28="上級",VLOOKUP($AZ28,参照データ!$B$46:$U$63,14,0),"")))</f>
        <v/>
      </c>
      <c r="BM28" s="21" t="str">
        <f t="shared" si="19"/>
        <v/>
      </c>
      <c r="BN28" s="21" t="str">
        <f>IF($V28="初級",VLOOKUP($AZ28,参照データ!$B$46:$U$63,18,0),IF($V28="中級",VLOOKUP($AZ28,参照データ!$B$46:$U$63,19,0),IF($V28="上級",VLOOKUP($AZ28,参照データ!$B$46:$U$63,20,0),"")))</f>
        <v/>
      </c>
      <c r="BO28" s="587"/>
      <c r="BP28" s="250" t="s">
        <v>255</v>
      </c>
      <c r="BQ28" s="251" t="str">
        <f t="shared" si="20"/>
        <v/>
      </c>
      <c r="BR28" s="595"/>
      <c r="BT28" s="241" t="e">
        <f t="shared" si="3"/>
        <v>#VALUE!</v>
      </c>
      <c r="BU28" s="245" t="str">
        <f>IF($X28="○",VLOOKUP($BT28,参照データ!$D$89:$F$100,3,0),"")</f>
        <v/>
      </c>
      <c r="BV28" s="246" t="str">
        <f t="shared" si="4"/>
        <v/>
      </c>
      <c r="BW28" s="245" t="str">
        <f>IF($Z28="○",VLOOKUP($BT28,参照データ!$D$89:$J$100,7,0),"")</f>
        <v/>
      </c>
      <c r="BX28" s="246" t="str">
        <f t="shared" si="5"/>
        <v/>
      </c>
      <c r="BY28" s="245" t="str">
        <f>IF($AB28="○",VLOOKUP($BT28,参照データ!$D$89:$N$100,11,0),"")</f>
        <v/>
      </c>
      <c r="BZ28" s="246" t="str">
        <f t="shared" si="6"/>
        <v/>
      </c>
      <c r="CA28" s="245" t="str">
        <f>IF($AD28="○",VLOOKUP($BT28,参照データ!$D$89:$T$100,17,0),"")</f>
        <v/>
      </c>
      <c r="CB28" s="246" t="str">
        <f t="shared" si="21"/>
        <v/>
      </c>
      <c r="CC28" s="245" t="str">
        <f>IF($AF28="○",VLOOKUP($BT28,参照データ!$D$89:$T$100,16,0),"")</f>
        <v/>
      </c>
      <c r="CD28" s="246" t="str">
        <f t="shared" si="22"/>
        <v/>
      </c>
      <c r="CE28" s="25">
        <f t="shared" si="23"/>
        <v>0</v>
      </c>
      <c r="CF28" s="312" t="e">
        <f t="shared" si="7"/>
        <v>#N/A</v>
      </c>
      <c r="CG28" s="300" t="str">
        <f t="shared" si="24"/>
        <v/>
      </c>
      <c r="CH28" s="645"/>
      <c r="CI28" s="252" t="s">
        <v>110</v>
      </c>
      <c r="CJ28" s="253" t="e">
        <f t="shared" si="8"/>
        <v>#N/A</v>
      </c>
      <c r="CK28" s="253" t="e">
        <f>VLOOKUP(CJ28,参照データ!$D$89:$R$100,15,0)</f>
        <v>#N/A</v>
      </c>
      <c r="CL28" s="647"/>
      <c r="CM28" s="288" t="e">
        <f>CM27</f>
        <v>#N/A</v>
      </c>
      <c r="CN28" s="290" t="str">
        <f>IF($AJ28="○",VLOOKUP($BT28,参照データ!$D$89:$V$100,19,0),"")</f>
        <v/>
      </c>
      <c r="CO28" s="246" t="str">
        <f t="shared" si="25"/>
        <v/>
      </c>
      <c r="CQ28" t="e">
        <f>IF(AND($AW28&gt;=参照データ!$C$132,$AW28&lt;=参照データ!$C$130),1,IF(AND($AW28&gt;=参照データ!$C$135,$AW28&lt;=参照データ!$C$133),2,IF(AND($AW28&gt;=参照データ!$C$138,$AW28&lt;=参照データ!$C$136),3,IF($AW28&lt;=参照データ!$C$139,4,0))))</f>
        <v>#VALUE!</v>
      </c>
      <c r="CR28" t="e">
        <f>IF($AV28="男子",VLOOKUP(CQ28,参照データ!$C$143:$D$150,2),CQ28)</f>
        <v>#VALUE!</v>
      </c>
      <c r="CS28" s="388" t="e">
        <f t="shared" si="26"/>
        <v>#VALUE!</v>
      </c>
      <c r="CT28" s="389" t="str">
        <f>IF($AM28="○",VLOOKUP($CS28,参照データ!$D$143:$F$150,3,0),"")</f>
        <v/>
      </c>
      <c r="CU28" s="390" t="str">
        <f t="shared" si="52"/>
        <v/>
      </c>
      <c r="CV28">
        <f t="shared" si="39"/>
        <v>0</v>
      </c>
      <c r="CW28" s="312" t="e">
        <f t="shared" si="9"/>
        <v>#N/A</v>
      </c>
      <c r="CX28" s="391" t="str">
        <f t="shared" si="28"/>
        <v/>
      </c>
      <c r="CY28" s="721"/>
      <c r="CZ28" s="395" t="s">
        <v>110</v>
      </c>
      <c r="DA28" s="396" t="e">
        <f t="shared" si="40"/>
        <v>#N/A</v>
      </c>
      <c r="DB28" s="396" t="e">
        <f>VLOOKUP(DA28,参照データ!$D$143:$J$150,7,0)</f>
        <v>#N/A</v>
      </c>
      <c r="DC28" s="723"/>
      <c r="DD28" s="397" t="e">
        <f t="shared" ref="DD28" si="55">DD27</f>
        <v>#N/A</v>
      </c>
      <c r="DF28" s="254">
        <f>(COUNTIF($J28:$O28,"&lt;&gt;"))*参照データ!$D$3</f>
        <v>0</v>
      </c>
      <c r="DG28" s="297">
        <f t="shared" si="29"/>
        <v>0</v>
      </c>
      <c r="DH28" s="157" cm="1">
        <f t="array" ref="DH28">(SUM(COUNTIF($Q28:$U28,{"入門","初級"}))*3000)+(SUM(COUNTIF($Q28:$U28,{"中級","上級"})*3500))</f>
        <v>0</v>
      </c>
      <c r="DI28" s="157">
        <f>IFERROR(VLOOKUP(V28,参照データ!$G$3:$I$6,3,0),0)</f>
        <v>0</v>
      </c>
      <c r="DJ28" s="469">
        <f t="shared" si="30"/>
        <v>0</v>
      </c>
      <c r="DK28" s="157">
        <f t="shared" si="31"/>
        <v>0</v>
      </c>
      <c r="DL28" s="157">
        <f t="shared" si="32"/>
        <v>0</v>
      </c>
      <c r="DM28" s="157">
        <f>(COUNTIF($AM28,"○"))*参照データ!$H$13</f>
        <v>0</v>
      </c>
      <c r="DN28" s="157">
        <f>(IF($AO28&gt;0,参照データ!$I$14,0))</f>
        <v>0</v>
      </c>
      <c r="DO28" s="249">
        <f t="array" ref="DO28">SUM(IF(ISERROR($DF28:$DN28),0,($DF28:$DN28)))</f>
        <v>0</v>
      </c>
      <c r="DP28" s="157"/>
      <c r="DQ28" s="157">
        <f t="shared" si="33"/>
        <v>0</v>
      </c>
      <c r="DR28" s="157">
        <f t="shared" si="34"/>
        <v>0</v>
      </c>
      <c r="DS28" s="157">
        <f t="shared" si="35"/>
        <v>0</v>
      </c>
      <c r="DT28" s="157">
        <f t="shared" si="36"/>
        <v>0</v>
      </c>
      <c r="DU28" s="157">
        <f t="shared" si="37"/>
        <v>0</v>
      </c>
      <c r="DV28" t="str">
        <f t="shared" si="10"/>
        <v/>
      </c>
    </row>
    <row r="29" spans="1:126" ht="18.75" customHeight="1" x14ac:dyDescent="0.2">
      <c r="A29">
        <v>17</v>
      </c>
      <c r="B29" s="183" t="str">
        <f>IF(D29="","",IF(D29="重複","",COUNTIF(B$13:$B28,"&gt;0")+1))</f>
        <v/>
      </c>
      <c r="C29" s="264"/>
      <c r="D29" s="134"/>
      <c r="E29" s="134"/>
      <c r="F29" s="135"/>
      <c r="G29" s="136"/>
      <c r="H29" s="169">
        <f t="shared" si="11"/>
        <v>0</v>
      </c>
      <c r="I29" s="170" t="str">
        <f t="shared" si="12"/>
        <v/>
      </c>
      <c r="J29" s="138"/>
      <c r="K29" s="138"/>
      <c r="L29" s="138"/>
      <c r="M29" s="139"/>
      <c r="N29" s="146"/>
      <c r="O29" s="141"/>
      <c r="P29" s="336"/>
      <c r="Q29" s="142"/>
      <c r="R29" s="143"/>
      <c r="S29" s="143"/>
      <c r="T29" s="144"/>
      <c r="U29" s="143"/>
      <c r="V29" s="266"/>
      <c r="W29" s="145"/>
      <c r="X29" s="269"/>
      <c r="Y29" s="148" t="str">
        <f>IF($X29="○",VLOOKUP($AY29,参照データ!$D$89:$E$100,2),"")</f>
        <v/>
      </c>
      <c r="Z29" s="271"/>
      <c r="AA29" s="148" t="str">
        <f>IF($Z29="○",VLOOKUP($AY29,参照データ!$D$89:$J$100,6),"")</f>
        <v/>
      </c>
      <c r="AB29" s="271"/>
      <c r="AC29" s="148" t="str">
        <f>IF($AB29="○",VLOOKUP($AY29,参照データ!$D$89:$N$100,10),"")</f>
        <v/>
      </c>
      <c r="AD29" s="271"/>
      <c r="AE29" s="148" t="str">
        <f>IF($AD29="○",VLOOKUP($AY29,参照データ!$D$89:$Q$100,14),"")</f>
        <v/>
      </c>
      <c r="AF29" s="271"/>
      <c r="AG29" s="148" t="str">
        <f>IF($AF29="○",VLOOKUP($AY29,参照データ!$D$89:$Q$100,14),"")</f>
        <v/>
      </c>
      <c r="AH29" s="266"/>
      <c r="AI29" s="370" t="str">
        <f t="shared" si="38"/>
        <v/>
      </c>
      <c r="AJ29" s="498"/>
      <c r="AK29" s="497" t="str">
        <f>IF($AJ29="○",VLOOKUP($AY29,参照データ!$D$89:$U$100,18),"")</f>
        <v/>
      </c>
      <c r="AL29" s="170" t="str">
        <f t="shared" si="13"/>
        <v/>
      </c>
      <c r="AM29" s="269"/>
      <c r="AN29" s="413" t="str">
        <f>IF($AM29="○",VLOOKUP($CR29,参照データ!$D$143:$E$150,2),"")</f>
        <v/>
      </c>
      <c r="AO29" s="416"/>
      <c r="AP29" s="366" t="str">
        <f t="shared" si="14"/>
        <v/>
      </c>
      <c r="AQ29" s="465"/>
      <c r="AR29" s="466"/>
      <c r="AU29" s="273" t="str">
        <f t="shared" si="15"/>
        <v/>
      </c>
      <c r="AV29" s="274" t="str">
        <f t="shared" si="16"/>
        <v/>
      </c>
      <c r="AW29" s="226" t="e">
        <f t="shared" si="17"/>
        <v>#VALUE!</v>
      </c>
      <c r="AX29" t="e">
        <f>IF(AND(AW29&gt;=参照データ!$C$71,AW29&lt;=参照データ!$C$69),1,IF(AND(AW29&gt;=参照データ!$C$74,AW29&lt;=参照データ!$C$72),2,IF(AND(AW29&gt;=参照データ!$C$77,AW29&lt;=参照データ!$C$75),3,IF(AND(AW29&gt;=参照データ!$C$80,AW29&lt;=参照データ!$C$78),4,IF(AND(AW29&gt;=参照データ!$C$83,AW29&lt;=参照データ!$C$81),5,IF(AW29&lt;=参照データ!$C$84,6,0))))))</f>
        <v>#VALUE!</v>
      </c>
      <c r="AY29" t="e">
        <f>IF(AV29="男子",VLOOKUP(AX29,参照データ!$C$95:$D$100,2),AX29)</f>
        <v>#VALUE!</v>
      </c>
      <c r="AZ29" s="241" t="str">
        <f t="shared" si="2"/>
        <v/>
      </c>
      <c r="BA29" s="219" t="str">
        <f>IF($J29="○",VLOOKUP($AZ29,参照データ!$B$24:$G$41,3,0),"")</f>
        <v/>
      </c>
      <c r="BB29" s="220" t="str">
        <f>IF($K29="○",VLOOKUP($AZ29,参照データ!$B$24:$G$41,4,0),"")</f>
        <v/>
      </c>
      <c r="BC29" s="220" t="str">
        <f>IF($L29="○",VLOOKUP($AZ29,参照データ!$B$24:$G$41,5,0),"")</f>
        <v/>
      </c>
      <c r="BD29" s="220" t="str">
        <f>IF($M29="○",VLOOKUP($AZ29,参照データ!$B$24:$G$41,6,0),"")</f>
        <v/>
      </c>
      <c r="BE29" s="220" t="str">
        <f>IF($N29="○",VLOOKUP($AZ29,参照データ!$B$24:$H$41,7,0),"")</f>
        <v/>
      </c>
      <c r="BF29" s="221" t="str">
        <f>IF($O29="○",VLOOKUP($AZ29,参照データ!$B$24:$I$41,8,0),"")</f>
        <v/>
      </c>
      <c r="BG29" s="344" t="str">
        <f t="shared" si="18"/>
        <v/>
      </c>
      <c r="BH29" s="242" t="str">
        <f>IF($Q29="入門",VLOOKUP($AZ29,参照データ!$B$46:$U$63,3,0),IF($Q29="初級",VLOOKUP($AZ29,参照データ!$B$46:$U$63,4,0),IF($Q29="中級",VLOOKUP($AZ29,参照データ!$B$46:$U$63,5,0),IF($Q29="上級",VLOOKUP($AZ29,参照データ!$B$46:$U$63,6,0),""))))</f>
        <v/>
      </c>
      <c r="BI29" s="242" t="str">
        <f>IF($R29="初級",VLOOKUP($AZ29,参照データ!$B$46:$U$63,7,0),IF($R29="中級",VLOOKUP($AZ29,参照データ!$B$46:$U$63,8,0),IF($R29="上級",VLOOKUP($AZ29,参照データ!$B$46:$U$63,9,0),"")))</f>
        <v/>
      </c>
      <c r="BJ29" s="242" t="str">
        <f>IF($S29="初級",VLOOKUP($AZ29,参照データ!$B$46:$U$63,10,0),IF($S29="上級",VLOOKUP($AZ29,参照データ!$B$46:$U$63,11,0),""))</f>
        <v/>
      </c>
      <c r="BK29" s="242" t="str">
        <f>IF($T29="初級",VLOOKUP($AZ29,参照データ!$B$46:$U$63,15,0),IF($T29="中級",VLOOKUP($AZ29,参照データ!$B$46:$U$63,16,0),IF($T29="上級",VLOOKUP($AZ29,参照データ!$B$46:$U$63,17,0),"")))</f>
        <v/>
      </c>
      <c r="BL29" s="242" t="str">
        <f>IF($U29="初級",VLOOKUP($AZ29,参照データ!$B$46:$U$63,12,0),IF($U29="中級",VLOOKUP($AZ29,参照データ!$B$46:$U$63,13,0),IF($U29="上級",VLOOKUP($AZ29,参照データ!$B$46:$U$63,14,0),"")))</f>
        <v/>
      </c>
      <c r="BM29" s="21" t="str">
        <f t="shared" si="19"/>
        <v/>
      </c>
      <c r="BN29" s="21" t="str">
        <f>IF($V29="初級",VLOOKUP($AZ29,参照データ!$B$46:$U$63,18,0),IF($V29="中級",VLOOKUP($AZ29,参照データ!$B$46:$U$63,19,0),IF($V29="上級",VLOOKUP($AZ29,参照データ!$B$46:$U$63,20,0),"")))</f>
        <v/>
      </c>
      <c r="BO29" s="604">
        <v>9</v>
      </c>
      <c r="BP29" s="255" t="s">
        <v>256</v>
      </c>
      <c r="BQ29" s="251" t="str">
        <f t="shared" si="20"/>
        <v/>
      </c>
      <c r="BR29" s="594" t="str">
        <f>IF(OR($BQ29="",$BQ30=""),"",IF($BQ29&gt;$BQ30,$BQ29,$BQ30))</f>
        <v/>
      </c>
      <c r="BT29" s="241" t="e">
        <f t="shared" si="3"/>
        <v>#VALUE!</v>
      </c>
      <c r="BU29" s="245" t="str">
        <f>IF($X29="○",VLOOKUP($BT29,参照データ!$D$89:$F$100,3,0),"")</f>
        <v/>
      </c>
      <c r="BV29" s="246" t="str">
        <f t="shared" si="4"/>
        <v/>
      </c>
      <c r="BW29" s="245" t="str">
        <f>IF($Z29="○",VLOOKUP($BT29,参照データ!$D$89:$J$100,7,0),"")</f>
        <v/>
      </c>
      <c r="BX29" s="246" t="str">
        <f t="shared" si="5"/>
        <v/>
      </c>
      <c r="BY29" s="245" t="str">
        <f>IF($AB29="○",VLOOKUP($BT29,参照データ!$D$89:$N$100,11,0),"")</f>
        <v/>
      </c>
      <c r="BZ29" s="246" t="str">
        <f t="shared" si="6"/>
        <v/>
      </c>
      <c r="CA29" s="245" t="str">
        <f>IF($AD29="○",VLOOKUP($BT29,参照データ!$D$89:$T$100,17,0),"")</f>
        <v/>
      </c>
      <c r="CB29" s="246" t="str">
        <f t="shared" si="21"/>
        <v/>
      </c>
      <c r="CC29" s="245" t="str">
        <f>IF($AF29="○",VLOOKUP($BT29,参照データ!$D$89:$T$100,16,0),"")</f>
        <v/>
      </c>
      <c r="CD29" s="246" t="str">
        <f t="shared" si="22"/>
        <v/>
      </c>
      <c r="CE29" s="25">
        <f t="shared" si="23"/>
        <v>0</v>
      </c>
      <c r="CF29" s="312" t="e">
        <f t="shared" si="7"/>
        <v>#N/A</v>
      </c>
      <c r="CG29" s="300" t="str">
        <f t="shared" si="24"/>
        <v/>
      </c>
      <c r="CH29" s="648">
        <v>9</v>
      </c>
      <c r="CI29" s="256" t="s">
        <v>111</v>
      </c>
      <c r="CJ29" s="257" t="e">
        <f t="shared" si="8"/>
        <v>#N/A</v>
      </c>
      <c r="CK29" s="257" t="e">
        <f>VLOOKUP(CJ29,参照データ!$D$89:$R$100,15,0)</f>
        <v>#N/A</v>
      </c>
      <c r="CL29" s="649" t="e">
        <f>IF(OR($CJ29="",$CJ30=""),"",IF($CJ29&gt;$CJ30,$CK29,$CK30))</f>
        <v>#N/A</v>
      </c>
      <c r="CM29" s="289" t="e">
        <f>INDEX(参照データ!$Q$89:$Q$100,MATCH($CL29,参照データ!$R$89:$R$100,0))</f>
        <v>#N/A</v>
      </c>
      <c r="CN29" s="290" t="str">
        <f>IF($AJ29="○",VLOOKUP($BT29,参照データ!$D$89:$V$100,19,0),"")</f>
        <v/>
      </c>
      <c r="CO29" s="246" t="str">
        <f t="shared" si="25"/>
        <v/>
      </c>
      <c r="CQ29" t="e">
        <f>IF(AND($AW29&gt;=参照データ!$C$132,$AW29&lt;=参照データ!$C$130),1,IF(AND($AW29&gt;=参照データ!$C$135,$AW29&lt;=参照データ!$C$133),2,IF(AND($AW29&gt;=参照データ!$C$138,$AW29&lt;=参照データ!$C$136),3,IF($AW29&lt;=参照データ!$C$139,4,0))))</f>
        <v>#VALUE!</v>
      </c>
      <c r="CR29" t="e">
        <f>IF($AV29="男子",VLOOKUP(CQ29,参照データ!$C$143:$D$150,2),CQ29)</f>
        <v>#VALUE!</v>
      </c>
      <c r="CS29" s="388" t="e">
        <f t="shared" si="26"/>
        <v>#VALUE!</v>
      </c>
      <c r="CT29" s="389" t="str">
        <f>IF($AM29="○",VLOOKUP($CS29,参照データ!$D$143:$F$150,3,0),"")</f>
        <v/>
      </c>
      <c r="CU29" s="390" t="str">
        <f t="shared" si="52"/>
        <v/>
      </c>
      <c r="CV29">
        <f t="shared" si="39"/>
        <v>0</v>
      </c>
      <c r="CW29" s="312" t="e">
        <f t="shared" si="9"/>
        <v>#N/A</v>
      </c>
      <c r="CX29" s="391" t="str">
        <f t="shared" si="28"/>
        <v/>
      </c>
      <c r="CY29" s="724">
        <v>9</v>
      </c>
      <c r="CZ29" s="398" t="s">
        <v>111</v>
      </c>
      <c r="DA29" s="399" t="e">
        <f t="shared" si="40"/>
        <v>#N/A</v>
      </c>
      <c r="DB29" s="399" t="e">
        <f>VLOOKUP(DA29,参照データ!$D$143:$J$150,7,0)</f>
        <v>#N/A</v>
      </c>
      <c r="DC29" s="725" t="e">
        <f t="shared" ref="DC29" si="56">IF(OR($DA29="",$DA30=""),"",IF($DA29&gt;$DA30,$DB29,$DB30))</f>
        <v>#N/A</v>
      </c>
      <c r="DD29" s="400" t="e">
        <f>INDEX(参照データ!$I$143:$I$150,MATCH($DC29,参照データ!$J$143:$J$150,0))</f>
        <v>#N/A</v>
      </c>
      <c r="DF29" s="254">
        <f>(COUNTIF($J29:$O29,"&lt;&gt;"))*参照データ!$D$3</f>
        <v>0</v>
      </c>
      <c r="DG29" s="297">
        <f t="shared" si="29"/>
        <v>0</v>
      </c>
      <c r="DH29" s="157" cm="1">
        <f t="array" ref="DH29">(SUM(COUNTIF($Q29:$U29,{"入門","初級"}))*3000)+(SUM(COUNTIF($Q29:$U29,{"中級","上級"})*3500))</f>
        <v>0</v>
      </c>
      <c r="DI29" s="157">
        <f>IFERROR(VLOOKUP(V29,参照データ!$G$3:$I$6,3,0),0)</f>
        <v>0</v>
      </c>
      <c r="DJ29" s="469">
        <f t="shared" si="30"/>
        <v>0</v>
      </c>
      <c r="DK29" s="157">
        <f t="shared" si="31"/>
        <v>0</v>
      </c>
      <c r="DL29" s="157">
        <f t="shared" si="32"/>
        <v>0</v>
      </c>
      <c r="DM29" s="157">
        <f>(COUNTIF($AM29,"○"))*参照データ!$H$13</f>
        <v>0</v>
      </c>
      <c r="DN29" s="157">
        <f>(IF($AO29&gt;0,参照データ!$I$14,0))</f>
        <v>0</v>
      </c>
      <c r="DO29" s="249">
        <f t="array" ref="DO29">SUM(IF(ISERROR($DF29:$DN29),0,($DF29:$DN29)))</f>
        <v>0</v>
      </c>
      <c r="DP29" s="157"/>
      <c r="DQ29" s="157">
        <f t="shared" si="33"/>
        <v>0</v>
      </c>
      <c r="DR29" s="157">
        <f t="shared" si="34"/>
        <v>0</v>
      </c>
      <c r="DS29" s="157">
        <f t="shared" si="35"/>
        <v>0</v>
      </c>
      <c r="DT29" s="157">
        <f t="shared" si="36"/>
        <v>0</v>
      </c>
      <c r="DU29" s="157">
        <f t="shared" si="37"/>
        <v>0</v>
      </c>
      <c r="DV29" t="str">
        <f t="shared" si="10"/>
        <v/>
      </c>
    </row>
    <row r="30" spans="1:126" ht="18.75" customHeight="1" x14ac:dyDescent="0.2">
      <c r="A30">
        <v>18</v>
      </c>
      <c r="B30" s="183" t="str">
        <f>IF(D30="","",IF(D30="重複","",COUNTIF(B$13:$B29,"&gt;0")+1))</f>
        <v/>
      </c>
      <c r="C30" s="264"/>
      <c r="D30" s="134"/>
      <c r="E30" s="134"/>
      <c r="F30" s="135"/>
      <c r="G30" s="136"/>
      <c r="H30" s="169">
        <f t="shared" si="11"/>
        <v>0</v>
      </c>
      <c r="I30" s="170" t="str">
        <f t="shared" si="12"/>
        <v/>
      </c>
      <c r="J30" s="138"/>
      <c r="K30" s="138"/>
      <c r="L30" s="138"/>
      <c r="M30" s="139"/>
      <c r="N30" s="146"/>
      <c r="O30" s="141"/>
      <c r="P30" s="336"/>
      <c r="Q30" s="142"/>
      <c r="R30" s="143"/>
      <c r="S30" s="143"/>
      <c r="T30" s="144"/>
      <c r="U30" s="143"/>
      <c r="V30" s="266"/>
      <c r="W30" s="145"/>
      <c r="X30" s="269"/>
      <c r="Y30" s="148" t="str">
        <f>IF($X30="○",VLOOKUP($AY30,参照データ!$D$89:$E$100,2),"")</f>
        <v/>
      </c>
      <c r="Z30" s="271"/>
      <c r="AA30" s="148" t="str">
        <f>IF($Z30="○",VLOOKUP($AY30,参照データ!$D$89:$J$100,6),"")</f>
        <v/>
      </c>
      <c r="AB30" s="271"/>
      <c r="AC30" s="148" t="str">
        <f>IF($AB30="○",VLOOKUP($AY30,参照データ!$D$89:$N$100,10),"")</f>
        <v/>
      </c>
      <c r="AD30" s="271"/>
      <c r="AE30" s="148" t="str">
        <f>IF($AD30="○",VLOOKUP($AY30,参照データ!$D$89:$Q$100,14),"")</f>
        <v/>
      </c>
      <c r="AF30" s="271"/>
      <c r="AG30" s="148" t="str">
        <f>IF($AF30="○",VLOOKUP($AY30,参照データ!$D$89:$Q$100,14),"")</f>
        <v/>
      </c>
      <c r="AH30" s="266"/>
      <c r="AI30" s="370" t="str">
        <f t="shared" si="38"/>
        <v/>
      </c>
      <c r="AJ30" s="498"/>
      <c r="AK30" s="497" t="str">
        <f>IF($AJ30="○",VLOOKUP($AY30,参照データ!$D$89:$U$100,18),"")</f>
        <v/>
      </c>
      <c r="AL30" s="170" t="str">
        <f t="shared" si="13"/>
        <v/>
      </c>
      <c r="AM30" s="269"/>
      <c r="AN30" s="413" t="str">
        <f>IF($AM30="○",VLOOKUP($CR30,参照データ!$D$143:$E$150,2),"")</f>
        <v/>
      </c>
      <c r="AO30" s="416"/>
      <c r="AP30" s="366" t="str">
        <f t="shared" si="14"/>
        <v/>
      </c>
      <c r="AQ30" s="465"/>
      <c r="AR30" s="466"/>
      <c r="AU30" s="273" t="str">
        <f t="shared" si="15"/>
        <v/>
      </c>
      <c r="AV30" s="274" t="str">
        <f t="shared" si="16"/>
        <v/>
      </c>
      <c r="AW30" s="226" t="e">
        <f t="shared" si="17"/>
        <v>#VALUE!</v>
      </c>
      <c r="AX30" t="e">
        <f>IF(AND(AW30&gt;=参照データ!$C$71,AW30&lt;=参照データ!$C$69),1,IF(AND(AW30&gt;=参照データ!$C$74,AW30&lt;=参照データ!$C$72),2,IF(AND(AW30&gt;=参照データ!$C$77,AW30&lt;=参照データ!$C$75),3,IF(AND(AW30&gt;=参照データ!$C$80,AW30&lt;=参照データ!$C$78),4,IF(AND(AW30&gt;=参照データ!$C$83,AW30&lt;=参照データ!$C$81),5,IF(AW30&lt;=参照データ!$C$84,6,0))))))</f>
        <v>#VALUE!</v>
      </c>
      <c r="AY30" t="e">
        <f>IF(AV30="男子",VLOOKUP(AX30,参照データ!$C$95:$D$100,2),AX30)</f>
        <v>#VALUE!</v>
      </c>
      <c r="AZ30" s="241" t="str">
        <f t="shared" si="2"/>
        <v/>
      </c>
      <c r="BA30" s="219" t="str">
        <f>IF($J30="○",VLOOKUP($AZ30,参照データ!$B$24:$G$41,3,0),"")</f>
        <v/>
      </c>
      <c r="BB30" s="220" t="str">
        <f>IF($K30="○",VLOOKUP($AZ30,参照データ!$B$24:$G$41,4,0),"")</f>
        <v/>
      </c>
      <c r="BC30" s="220" t="str">
        <f>IF($L30="○",VLOOKUP($AZ30,参照データ!$B$24:$G$41,5,0),"")</f>
        <v/>
      </c>
      <c r="BD30" s="220" t="str">
        <f>IF($M30="○",VLOOKUP($AZ30,参照データ!$B$24:$G$41,6,0),"")</f>
        <v/>
      </c>
      <c r="BE30" s="220" t="str">
        <f>IF($N30="○",VLOOKUP($AZ30,参照データ!$B$24:$H$41,7,0),"")</f>
        <v/>
      </c>
      <c r="BF30" s="221" t="str">
        <f>IF($O30="○",VLOOKUP($AZ30,参照データ!$B$24:$I$41,8,0),"")</f>
        <v/>
      </c>
      <c r="BG30" s="344" t="str">
        <f t="shared" si="18"/>
        <v/>
      </c>
      <c r="BH30" s="242" t="str">
        <f>IF($Q30="入門",VLOOKUP($AZ30,参照データ!$B$46:$U$63,3,0),IF($Q30="初級",VLOOKUP($AZ30,参照データ!$B$46:$U$63,4,0),IF($Q30="中級",VLOOKUP($AZ30,参照データ!$B$46:$U$63,5,0),IF($Q30="上級",VLOOKUP($AZ30,参照データ!$B$46:$U$63,6,0),""))))</f>
        <v/>
      </c>
      <c r="BI30" s="242" t="str">
        <f>IF($R30="初級",VLOOKUP($AZ30,参照データ!$B$46:$U$63,7,0),IF($R30="中級",VLOOKUP($AZ30,参照データ!$B$46:$U$63,8,0),IF($R30="上級",VLOOKUP($AZ30,参照データ!$B$46:$U$63,9,0),"")))</f>
        <v/>
      </c>
      <c r="BJ30" s="242" t="str">
        <f>IF($S30="初級",VLOOKUP($AZ30,参照データ!$B$46:$U$63,10,0),IF($S30="上級",VLOOKUP($AZ30,参照データ!$B$46:$U$63,11,0),""))</f>
        <v/>
      </c>
      <c r="BK30" s="242" t="str">
        <f>IF($T30="初級",VLOOKUP($AZ30,参照データ!$B$46:$U$63,15,0),IF($T30="中級",VLOOKUP($AZ30,参照データ!$B$46:$U$63,16,0),IF($T30="上級",VLOOKUP($AZ30,参照データ!$B$46:$U$63,17,0),"")))</f>
        <v/>
      </c>
      <c r="BL30" s="242" t="str">
        <f>IF($U30="初級",VLOOKUP($AZ30,参照データ!$B$46:$U$63,12,0),IF($U30="中級",VLOOKUP($AZ30,参照データ!$B$46:$U$63,13,0),IF($U30="上級",VLOOKUP($AZ30,参照データ!$B$46:$U$63,14,0),"")))</f>
        <v/>
      </c>
      <c r="BM30" s="21" t="str">
        <f t="shared" si="19"/>
        <v/>
      </c>
      <c r="BN30" s="21" t="str">
        <f>IF($V30="初級",VLOOKUP($AZ30,参照データ!$B$46:$U$63,18,0),IF($V30="中級",VLOOKUP($AZ30,参照データ!$B$46:$U$63,19,0),IF($V30="上級",VLOOKUP($AZ30,参照データ!$B$46:$U$63,20,0),"")))</f>
        <v/>
      </c>
      <c r="BO30" s="587"/>
      <c r="BP30" s="250" t="s">
        <v>257</v>
      </c>
      <c r="BQ30" s="251" t="str">
        <f t="shared" si="20"/>
        <v/>
      </c>
      <c r="BR30" s="595"/>
      <c r="BT30" s="241" t="e">
        <f t="shared" si="3"/>
        <v>#VALUE!</v>
      </c>
      <c r="BU30" s="245" t="str">
        <f>IF($X30="○",VLOOKUP($BT30,参照データ!$D$89:$F$100,3,0),"")</f>
        <v/>
      </c>
      <c r="BV30" s="246" t="str">
        <f t="shared" si="4"/>
        <v/>
      </c>
      <c r="BW30" s="245" t="str">
        <f>IF($Z30="○",VLOOKUP($BT30,参照データ!$D$89:$J$100,7,0),"")</f>
        <v/>
      </c>
      <c r="BX30" s="246" t="str">
        <f t="shared" si="5"/>
        <v/>
      </c>
      <c r="BY30" s="245" t="str">
        <f>IF($AB30="○",VLOOKUP($BT30,参照データ!$D$89:$N$100,11,0),"")</f>
        <v/>
      </c>
      <c r="BZ30" s="246" t="str">
        <f t="shared" si="6"/>
        <v/>
      </c>
      <c r="CA30" s="245" t="str">
        <f>IF($AD30="○",VLOOKUP($BT30,参照データ!$D$89:$T$100,17,0),"")</f>
        <v/>
      </c>
      <c r="CB30" s="246" t="str">
        <f t="shared" si="21"/>
        <v/>
      </c>
      <c r="CC30" s="245" t="str">
        <f>IF($AF30="○",VLOOKUP($BT30,参照データ!$D$89:$T$100,16,0),"")</f>
        <v/>
      </c>
      <c r="CD30" s="246" t="str">
        <f t="shared" si="22"/>
        <v/>
      </c>
      <c r="CE30" s="25">
        <f t="shared" si="23"/>
        <v>0</v>
      </c>
      <c r="CF30" s="312" t="e">
        <f t="shared" si="7"/>
        <v>#N/A</v>
      </c>
      <c r="CG30" s="300" t="str">
        <f t="shared" si="24"/>
        <v/>
      </c>
      <c r="CH30" s="645"/>
      <c r="CI30" s="252" t="s">
        <v>112</v>
      </c>
      <c r="CJ30" s="253" t="e">
        <f t="shared" si="8"/>
        <v>#N/A</v>
      </c>
      <c r="CK30" s="253" t="e">
        <f>VLOOKUP(CJ30,参照データ!$D$89:$R$100,15,0)</f>
        <v>#N/A</v>
      </c>
      <c r="CL30" s="647"/>
      <c r="CM30" s="288" t="e">
        <f>CM29</f>
        <v>#N/A</v>
      </c>
      <c r="CN30" s="290" t="str">
        <f>IF($AJ30="○",VLOOKUP($BT30,参照データ!$D$89:$V$100,19,0),"")</f>
        <v/>
      </c>
      <c r="CO30" s="246" t="str">
        <f t="shared" si="25"/>
        <v/>
      </c>
      <c r="CQ30" t="e">
        <f>IF(AND($AW30&gt;=参照データ!$C$132,$AW30&lt;=参照データ!$C$130),1,IF(AND($AW30&gt;=参照データ!$C$135,$AW30&lt;=参照データ!$C$133),2,IF(AND($AW30&gt;=参照データ!$C$138,$AW30&lt;=参照データ!$C$136),3,IF($AW30&lt;=参照データ!$C$139,4,0))))</f>
        <v>#VALUE!</v>
      </c>
      <c r="CR30" t="e">
        <f>IF($AV30="男子",VLOOKUP(CQ30,参照データ!$C$143:$D$150,2),CQ30)</f>
        <v>#VALUE!</v>
      </c>
      <c r="CS30" s="388" t="e">
        <f t="shared" si="26"/>
        <v>#VALUE!</v>
      </c>
      <c r="CT30" s="389" t="str">
        <f>IF($AM30="○",VLOOKUP($CS30,参照データ!$D$143:$F$150,3,0),"")</f>
        <v/>
      </c>
      <c r="CU30" s="390" t="str">
        <f t="shared" si="52"/>
        <v/>
      </c>
      <c r="CV30">
        <f t="shared" si="39"/>
        <v>0</v>
      </c>
      <c r="CW30" s="312" t="e">
        <f t="shared" si="9"/>
        <v>#N/A</v>
      </c>
      <c r="CX30" s="391" t="str">
        <f t="shared" si="28"/>
        <v/>
      </c>
      <c r="CY30" s="721"/>
      <c r="CZ30" s="395" t="s">
        <v>112</v>
      </c>
      <c r="DA30" s="396" t="e">
        <f t="shared" si="40"/>
        <v>#N/A</v>
      </c>
      <c r="DB30" s="396" t="e">
        <f>VLOOKUP(DA30,参照データ!$D$143:$J$150,7,0)</f>
        <v>#N/A</v>
      </c>
      <c r="DC30" s="723"/>
      <c r="DD30" s="397" t="e">
        <f t="shared" ref="DD30" si="57">DD29</f>
        <v>#N/A</v>
      </c>
      <c r="DF30" s="254">
        <f>(COUNTIF($J30:$O30,"&lt;&gt;"))*参照データ!$D$3</f>
        <v>0</v>
      </c>
      <c r="DG30" s="297">
        <f t="shared" si="29"/>
        <v>0</v>
      </c>
      <c r="DH30" s="157" cm="1">
        <f t="array" ref="DH30">(SUM(COUNTIF($Q30:$U30,{"入門","初級"}))*3000)+(SUM(COUNTIF($Q30:$U30,{"中級","上級"})*3500))</f>
        <v>0</v>
      </c>
      <c r="DI30" s="157">
        <f>IFERROR(VLOOKUP(V30,参照データ!$G$3:$I$6,3,0),0)</f>
        <v>0</v>
      </c>
      <c r="DJ30" s="469">
        <f t="shared" si="30"/>
        <v>0</v>
      </c>
      <c r="DK30" s="157">
        <f t="shared" si="31"/>
        <v>0</v>
      </c>
      <c r="DL30" s="157">
        <f t="shared" si="32"/>
        <v>0</v>
      </c>
      <c r="DM30" s="157">
        <f>(COUNTIF($AM30,"○"))*参照データ!$H$13</f>
        <v>0</v>
      </c>
      <c r="DN30" s="157">
        <f>(IF($AO30&gt;0,参照データ!$I$14,0))</f>
        <v>0</v>
      </c>
      <c r="DO30" s="249">
        <f t="array" ref="DO30">SUM(IF(ISERROR($DF30:$DN30),0,($DF30:$DN30)))</f>
        <v>0</v>
      </c>
      <c r="DP30" s="157"/>
      <c r="DQ30" s="157">
        <f t="shared" si="33"/>
        <v>0</v>
      </c>
      <c r="DR30" s="157">
        <f t="shared" si="34"/>
        <v>0</v>
      </c>
      <c r="DS30" s="157">
        <f t="shared" si="35"/>
        <v>0</v>
      </c>
      <c r="DT30" s="157">
        <f t="shared" si="36"/>
        <v>0</v>
      </c>
      <c r="DU30" s="157">
        <f t="shared" si="37"/>
        <v>0</v>
      </c>
      <c r="DV30" t="str">
        <f t="shared" si="10"/>
        <v/>
      </c>
    </row>
    <row r="31" spans="1:126" ht="18.75" customHeight="1" x14ac:dyDescent="0.2">
      <c r="A31">
        <v>19</v>
      </c>
      <c r="B31" s="183" t="str">
        <f>IF(D31="","",IF(D31="重複","",COUNTIF(B$13:$B30,"&gt;0")+1))</f>
        <v/>
      </c>
      <c r="C31" s="264"/>
      <c r="D31" s="134"/>
      <c r="E31" s="134"/>
      <c r="F31" s="135"/>
      <c r="G31" s="136"/>
      <c r="H31" s="169">
        <f t="shared" si="11"/>
        <v>0</v>
      </c>
      <c r="I31" s="170" t="str">
        <f t="shared" si="12"/>
        <v/>
      </c>
      <c r="J31" s="138"/>
      <c r="K31" s="138"/>
      <c r="L31" s="138"/>
      <c r="M31" s="139"/>
      <c r="N31" s="146"/>
      <c r="O31" s="141"/>
      <c r="P31" s="336"/>
      <c r="Q31" s="142"/>
      <c r="R31" s="143"/>
      <c r="S31" s="143"/>
      <c r="T31" s="144"/>
      <c r="U31" s="143"/>
      <c r="V31" s="267"/>
      <c r="W31" s="145"/>
      <c r="X31" s="269"/>
      <c r="Y31" s="148" t="str">
        <f>IF($X31="○",VLOOKUP($AY31,参照データ!$D$89:$E$100,2),"")</f>
        <v/>
      </c>
      <c r="Z31" s="271"/>
      <c r="AA31" s="148" t="str">
        <f>IF($Z31="○",VLOOKUP($AY31,参照データ!$D$89:$J$100,6),"")</f>
        <v/>
      </c>
      <c r="AB31" s="271"/>
      <c r="AC31" s="148" t="str">
        <f>IF($AB31="○",VLOOKUP($AY31,参照データ!$D$89:$N$100,10),"")</f>
        <v/>
      </c>
      <c r="AD31" s="271"/>
      <c r="AE31" s="148" t="str">
        <f>IF($AD31="○",VLOOKUP($AY31,参照データ!$D$89:$Q$100,14),"")</f>
        <v/>
      </c>
      <c r="AF31" s="271"/>
      <c r="AG31" s="148" t="str">
        <f>IF($AF31="○",VLOOKUP($AY31,参照データ!$D$89:$Q$100,14),"")</f>
        <v/>
      </c>
      <c r="AH31" s="266"/>
      <c r="AI31" s="370" t="str">
        <f t="shared" si="38"/>
        <v/>
      </c>
      <c r="AJ31" s="498"/>
      <c r="AK31" s="497" t="str">
        <f>IF($AJ31="○",VLOOKUP($AY31,参照データ!$D$89:$U$100,18),"")</f>
        <v/>
      </c>
      <c r="AL31" s="170" t="str">
        <f t="shared" si="13"/>
        <v/>
      </c>
      <c r="AM31" s="269"/>
      <c r="AN31" s="413" t="str">
        <f>IF($AM31="○",VLOOKUP($CR31,参照データ!$D$143:$E$150,2),"")</f>
        <v/>
      </c>
      <c r="AO31" s="416"/>
      <c r="AP31" s="366" t="str">
        <f t="shared" si="14"/>
        <v/>
      </c>
      <c r="AQ31" s="465"/>
      <c r="AR31" s="466"/>
      <c r="AU31" s="273" t="str">
        <f t="shared" si="15"/>
        <v/>
      </c>
      <c r="AV31" s="274" t="str">
        <f t="shared" si="16"/>
        <v/>
      </c>
      <c r="AW31" s="226" t="e">
        <f t="shared" si="17"/>
        <v>#VALUE!</v>
      </c>
      <c r="AX31" t="e">
        <f>IF(AND(AW31&gt;=参照データ!$C$71,AW31&lt;=参照データ!$C$69),1,IF(AND(AW31&gt;=参照データ!$C$74,AW31&lt;=参照データ!$C$72),2,IF(AND(AW31&gt;=参照データ!$C$77,AW31&lt;=参照データ!$C$75),3,IF(AND(AW31&gt;=参照データ!$C$80,AW31&lt;=参照データ!$C$78),4,IF(AND(AW31&gt;=参照データ!$C$83,AW31&lt;=参照データ!$C$81),5,IF(AW31&lt;=参照データ!$C$84,6,0))))))</f>
        <v>#VALUE!</v>
      </c>
      <c r="AY31" t="e">
        <f>IF(AV31="男子",VLOOKUP(AX31,参照データ!$C$95:$D$100,2),AX31)</f>
        <v>#VALUE!</v>
      </c>
      <c r="AZ31" s="241" t="str">
        <f t="shared" si="2"/>
        <v/>
      </c>
      <c r="BA31" s="219" t="str">
        <f>IF($J31="○",VLOOKUP($AZ31,参照データ!$B$24:$G$41,3,0),"")</f>
        <v/>
      </c>
      <c r="BB31" s="220" t="str">
        <f>IF($K31="○",VLOOKUP($AZ31,参照データ!$B$24:$G$41,4,0),"")</f>
        <v/>
      </c>
      <c r="BC31" s="220" t="str">
        <f>IF($L31="○",VLOOKUP($AZ31,参照データ!$B$24:$G$41,5,0),"")</f>
        <v/>
      </c>
      <c r="BD31" s="220" t="str">
        <f>IF($M31="○",VLOOKUP($AZ31,参照データ!$B$24:$G$41,6,0),"")</f>
        <v/>
      </c>
      <c r="BE31" s="220" t="str">
        <f>IF($N31="○",VLOOKUP($AZ31,参照データ!$B$24:$H$41,7,0),"")</f>
        <v/>
      </c>
      <c r="BF31" s="221" t="str">
        <f>IF($O31="○",VLOOKUP($AZ31,参照データ!$B$24:$I$41,8,0),"")</f>
        <v/>
      </c>
      <c r="BG31" s="344" t="str">
        <f t="shared" si="18"/>
        <v/>
      </c>
      <c r="BH31" s="242" t="str">
        <f>IF($Q31="入門",VLOOKUP($AZ31,参照データ!$B$46:$U$63,3,0),IF($Q31="初級",VLOOKUP($AZ31,参照データ!$B$46:$U$63,4,0),IF($Q31="中級",VLOOKUP($AZ31,参照データ!$B$46:$U$63,5,0),IF($Q31="上級",VLOOKUP($AZ31,参照データ!$B$46:$U$63,6,0),""))))</f>
        <v/>
      </c>
      <c r="BI31" s="242" t="str">
        <f>IF($R31="初級",VLOOKUP($AZ31,参照データ!$B$46:$U$63,7,0),IF($R31="中級",VLOOKUP($AZ31,参照データ!$B$46:$U$63,8,0),IF($R31="上級",VLOOKUP($AZ31,参照データ!$B$46:$U$63,9,0),"")))</f>
        <v/>
      </c>
      <c r="BJ31" s="242" t="str">
        <f>IF($S31="初級",VLOOKUP($AZ31,参照データ!$B$46:$U$63,10,0),IF($S31="上級",VLOOKUP($AZ31,参照データ!$B$46:$U$63,11,0),""))</f>
        <v/>
      </c>
      <c r="BK31" s="242" t="str">
        <f>IF($T31="初級",VLOOKUP($AZ31,参照データ!$B$46:$U$63,15,0),IF($T31="中級",VLOOKUP($AZ31,参照データ!$B$46:$U$63,16,0),IF($T31="上級",VLOOKUP($AZ31,参照データ!$B$46:$U$63,17,0),"")))</f>
        <v/>
      </c>
      <c r="BL31" s="242" t="str">
        <f>IF($U31="初級",VLOOKUP($AZ31,参照データ!$B$46:$U$63,12,0),IF($U31="中級",VLOOKUP($AZ31,参照データ!$B$46:$U$63,13,0),IF($U31="上級",VLOOKUP($AZ31,参照データ!$B$46:$U$63,14,0),"")))</f>
        <v/>
      </c>
      <c r="BM31" s="21" t="str">
        <f t="shared" si="19"/>
        <v/>
      </c>
      <c r="BN31" s="21" t="str">
        <f>IF($V31="初級",VLOOKUP($AZ31,参照データ!$B$46:$U$63,18,0),IF($V31="中級",VLOOKUP($AZ31,参照データ!$B$46:$U$63,19,0),IF($V31="上級",VLOOKUP($AZ31,参照データ!$B$46:$U$63,20,0),"")))</f>
        <v/>
      </c>
      <c r="BO31" s="604">
        <v>10</v>
      </c>
      <c r="BP31" s="255" t="s">
        <v>258</v>
      </c>
      <c r="BQ31" s="251" t="str">
        <f t="shared" si="20"/>
        <v/>
      </c>
      <c r="BR31" s="594" t="str">
        <f>IF(OR($BQ31="",$BQ32=""),"",IF($BQ31&gt;$BQ32,$BQ31,$BQ32))</f>
        <v/>
      </c>
      <c r="BT31" s="241" t="e">
        <f t="shared" si="3"/>
        <v>#VALUE!</v>
      </c>
      <c r="BU31" s="245" t="str">
        <f>IF($X31="○",VLOOKUP($BT31,参照データ!$D$89:$F$100,3,0),"")</f>
        <v/>
      </c>
      <c r="BV31" s="246" t="str">
        <f t="shared" si="4"/>
        <v/>
      </c>
      <c r="BW31" s="245" t="str">
        <f>IF($Z31="○",VLOOKUP($BT31,参照データ!$D$89:$J$100,7,0),"")</f>
        <v/>
      </c>
      <c r="BX31" s="246" t="str">
        <f t="shared" si="5"/>
        <v/>
      </c>
      <c r="BY31" s="245" t="str">
        <f>IF($AB31="○",VLOOKUP($BT31,参照データ!$D$89:$N$100,11,0),"")</f>
        <v/>
      </c>
      <c r="BZ31" s="246" t="str">
        <f t="shared" si="6"/>
        <v/>
      </c>
      <c r="CA31" s="245" t="str">
        <f>IF($AD31="○",VLOOKUP($BT31,参照データ!$D$89:$T$100,17,0),"")</f>
        <v/>
      </c>
      <c r="CB31" s="246" t="str">
        <f t="shared" si="21"/>
        <v/>
      </c>
      <c r="CC31" s="245" t="str">
        <f>IF($AF31="○",VLOOKUP($BT31,参照データ!$D$89:$T$100,16,0),"")</f>
        <v/>
      </c>
      <c r="CD31" s="246" t="str">
        <f t="shared" si="22"/>
        <v/>
      </c>
      <c r="CE31" s="25">
        <f t="shared" si="23"/>
        <v>0</v>
      </c>
      <c r="CF31" s="312" t="e">
        <f t="shared" si="7"/>
        <v>#N/A</v>
      </c>
      <c r="CG31" s="300" t="str">
        <f t="shared" si="24"/>
        <v/>
      </c>
      <c r="CH31" s="648">
        <v>10</v>
      </c>
      <c r="CI31" s="256" t="s">
        <v>113</v>
      </c>
      <c r="CJ31" s="257" t="e">
        <f t="shared" si="8"/>
        <v>#N/A</v>
      </c>
      <c r="CK31" s="257" t="e">
        <f>VLOOKUP(CJ31,参照データ!$D$89:$R$100,15,0)</f>
        <v>#N/A</v>
      </c>
      <c r="CL31" s="649" t="e">
        <f>IF(OR($CJ31="",$CJ32=""),"",IF($CJ31&gt;$CJ32,$CK31,$CK32))</f>
        <v>#N/A</v>
      </c>
      <c r="CM31" s="289" t="e">
        <f>INDEX(参照データ!$Q$89:$Q$100,MATCH($CL31,参照データ!$R$89:$R$100,0))</f>
        <v>#N/A</v>
      </c>
      <c r="CN31" s="290" t="str">
        <f>IF($AJ31="○",VLOOKUP($BT31,参照データ!$D$89:$V$100,19,0),"")</f>
        <v/>
      </c>
      <c r="CO31" s="246" t="str">
        <f t="shared" si="25"/>
        <v/>
      </c>
      <c r="CQ31" t="e">
        <f>IF(AND($AW31&gt;=参照データ!$C$132,$AW31&lt;=参照データ!$C$130),1,IF(AND($AW31&gt;=参照データ!$C$135,$AW31&lt;=参照データ!$C$133),2,IF(AND($AW31&gt;=参照データ!$C$138,$AW31&lt;=参照データ!$C$136),3,IF($AW31&lt;=参照データ!$C$139,4,0))))</f>
        <v>#VALUE!</v>
      </c>
      <c r="CR31" t="e">
        <f>IF($AV31="男子",VLOOKUP(CQ31,参照データ!$C$143:$D$150,2),CQ31)</f>
        <v>#VALUE!</v>
      </c>
      <c r="CS31" s="388" t="e">
        <f t="shared" si="26"/>
        <v>#VALUE!</v>
      </c>
      <c r="CT31" s="389" t="str">
        <f>IF($AM31="○",VLOOKUP($CS31,参照データ!$D$143:$F$150,3,0),"")</f>
        <v/>
      </c>
      <c r="CU31" s="390" t="str">
        <f t="shared" si="52"/>
        <v/>
      </c>
      <c r="CV31">
        <f t="shared" si="39"/>
        <v>0</v>
      </c>
      <c r="CW31" s="312" t="e">
        <f t="shared" si="9"/>
        <v>#N/A</v>
      </c>
      <c r="CX31" s="391" t="str">
        <f t="shared" si="28"/>
        <v/>
      </c>
      <c r="CY31" s="724">
        <v>10</v>
      </c>
      <c r="CZ31" s="398" t="s">
        <v>113</v>
      </c>
      <c r="DA31" s="399" t="e">
        <f t="shared" si="40"/>
        <v>#N/A</v>
      </c>
      <c r="DB31" s="399" t="e">
        <f>VLOOKUP(DA31,参照データ!$D$143:$J$150,7,0)</f>
        <v>#N/A</v>
      </c>
      <c r="DC31" s="725" t="e">
        <f t="shared" ref="DC31" si="58">IF(OR($DA31="",$DA32=""),"",IF($DA31&gt;$DA32,$DB31,$DB32))</f>
        <v>#N/A</v>
      </c>
      <c r="DD31" s="400" t="e">
        <f>INDEX(参照データ!$I$143:$I$150,MATCH($DC31,参照データ!$J$143:$J$150,0))</f>
        <v>#N/A</v>
      </c>
      <c r="DF31" s="254">
        <f>(COUNTIF($J31:$O31,"&lt;&gt;"))*参照データ!$D$3</f>
        <v>0</v>
      </c>
      <c r="DG31" s="297">
        <f t="shared" si="29"/>
        <v>0</v>
      </c>
      <c r="DH31" s="157" cm="1">
        <f t="array" ref="DH31">(SUM(COUNTIF($Q31:$U31,{"入門","初級"}))*3000)+(SUM(COUNTIF($Q31:$U31,{"中級","上級"})*3500))</f>
        <v>0</v>
      </c>
      <c r="DI31" s="157">
        <f>IFERROR(VLOOKUP(V31,参照データ!$G$3:$I$6,3,0),0)</f>
        <v>0</v>
      </c>
      <c r="DJ31" s="469">
        <f t="shared" si="30"/>
        <v>0</v>
      </c>
      <c r="DK31" s="157">
        <f t="shared" si="31"/>
        <v>0</v>
      </c>
      <c r="DL31" s="157">
        <f t="shared" si="32"/>
        <v>0</v>
      </c>
      <c r="DM31" s="157">
        <f>(COUNTIF($AM31,"○"))*参照データ!$H$13</f>
        <v>0</v>
      </c>
      <c r="DN31" s="157">
        <f>(IF($AO31&gt;0,参照データ!$I$14,0))</f>
        <v>0</v>
      </c>
      <c r="DO31" s="249">
        <f t="array" ref="DO31">SUM(IF(ISERROR($DF31:$DN31),0,($DF31:$DN31)))</f>
        <v>0</v>
      </c>
      <c r="DP31" s="157"/>
      <c r="DQ31" s="157">
        <f t="shared" si="33"/>
        <v>0</v>
      </c>
      <c r="DR31" s="157">
        <f t="shared" si="34"/>
        <v>0</v>
      </c>
      <c r="DS31" s="157">
        <f t="shared" si="35"/>
        <v>0</v>
      </c>
      <c r="DT31" s="157">
        <f t="shared" si="36"/>
        <v>0</v>
      </c>
      <c r="DU31" s="157">
        <f t="shared" si="37"/>
        <v>0</v>
      </c>
      <c r="DV31" t="str">
        <f t="shared" si="10"/>
        <v/>
      </c>
    </row>
    <row r="32" spans="1:126" ht="18.75" customHeight="1" x14ac:dyDescent="0.2">
      <c r="A32">
        <v>20</v>
      </c>
      <c r="B32" s="183" t="str">
        <f>IF(D32="","",IF(D32="重複","",COUNTIF(B$13:$B31,"&gt;0")+1))</f>
        <v/>
      </c>
      <c r="C32" s="264"/>
      <c r="D32" s="134"/>
      <c r="E32" s="134"/>
      <c r="F32" s="135"/>
      <c r="G32" s="136"/>
      <c r="H32" s="169">
        <f t="shared" si="11"/>
        <v>0</v>
      </c>
      <c r="I32" s="170" t="str">
        <f t="shared" si="12"/>
        <v/>
      </c>
      <c r="J32" s="138"/>
      <c r="K32" s="138"/>
      <c r="L32" s="138"/>
      <c r="M32" s="139"/>
      <c r="N32" s="146"/>
      <c r="O32" s="141"/>
      <c r="P32" s="336"/>
      <c r="Q32" s="142"/>
      <c r="R32" s="143"/>
      <c r="S32" s="143"/>
      <c r="T32" s="144"/>
      <c r="U32" s="143"/>
      <c r="V32" s="267"/>
      <c r="W32" s="145"/>
      <c r="X32" s="269"/>
      <c r="Y32" s="148" t="str">
        <f>IF($X32="○",VLOOKUP($AY32,参照データ!$D$89:$E$100,2),"")</f>
        <v/>
      </c>
      <c r="Z32" s="271"/>
      <c r="AA32" s="148" t="str">
        <f>IF($Z32="○",VLOOKUP($AY32,参照データ!$D$89:$J$100,6),"")</f>
        <v/>
      </c>
      <c r="AB32" s="271"/>
      <c r="AC32" s="148" t="str">
        <f>IF($AB32="○",VLOOKUP($AY32,参照データ!$D$89:$N$100,10),"")</f>
        <v/>
      </c>
      <c r="AD32" s="271"/>
      <c r="AE32" s="148" t="str">
        <f>IF($AD32="○",VLOOKUP($AY32,参照データ!$D$89:$Q$100,14),"")</f>
        <v/>
      </c>
      <c r="AF32" s="271"/>
      <c r="AG32" s="148" t="str">
        <f>IF($AF32="○",VLOOKUP($AY32,参照データ!$D$89:$Q$100,14),"")</f>
        <v/>
      </c>
      <c r="AH32" s="266"/>
      <c r="AI32" s="370" t="str">
        <f t="shared" si="38"/>
        <v/>
      </c>
      <c r="AJ32" s="498"/>
      <c r="AK32" s="497" t="str">
        <f>IF($AJ32="○",VLOOKUP($AY32,参照データ!$D$89:$U$100,18),"")</f>
        <v/>
      </c>
      <c r="AL32" s="170" t="str">
        <f t="shared" si="13"/>
        <v/>
      </c>
      <c r="AM32" s="269"/>
      <c r="AN32" s="413" t="str">
        <f>IF($AM32="○",VLOOKUP($CR32,参照データ!$D$143:$E$150,2),"")</f>
        <v/>
      </c>
      <c r="AO32" s="416"/>
      <c r="AP32" s="366" t="str">
        <f t="shared" si="14"/>
        <v/>
      </c>
      <c r="AQ32" s="465"/>
      <c r="AR32" s="466"/>
      <c r="AU32" s="273" t="str">
        <f t="shared" si="15"/>
        <v/>
      </c>
      <c r="AV32" s="274" t="str">
        <f t="shared" si="16"/>
        <v/>
      </c>
      <c r="AW32" s="226" t="e">
        <f t="shared" si="17"/>
        <v>#VALUE!</v>
      </c>
      <c r="AX32" t="e">
        <f>IF(AND(AW32&gt;=参照データ!$C$71,AW32&lt;=参照データ!$C$69),1,IF(AND(AW32&gt;=参照データ!$C$74,AW32&lt;=参照データ!$C$72),2,IF(AND(AW32&gt;=参照データ!$C$77,AW32&lt;=参照データ!$C$75),3,IF(AND(AW32&gt;=参照データ!$C$80,AW32&lt;=参照データ!$C$78),4,IF(AND(AW32&gt;=参照データ!$C$83,AW32&lt;=参照データ!$C$81),5,IF(AW32&lt;=参照データ!$C$84,6,0))))))</f>
        <v>#VALUE!</v>
      </c>
      <c r="AY32" t="e">
        <f>IF(AV32="男子",VLOOKUP(AX32,参照データ!$C$95:$D$100,2),AX32)</f>
        <v>#VALUE!</v>
      </c>
      <c r="AZ32" s="241" t="str">
        <f t="shared" si="2"/>
        <v/>
      </c>
      <c r="BA32" s="219" t="str">
        <f>IF($J32="○",VLOOKUP($AZ32,参照データ!$B$24:$G$41,3,0),"")</f>
        <v/>
      </c>
      <c r="BB32" s="220" t="str">
        <f>IF($K32="○",VLOOKUP($AZ32,参照データ!$B$24:$G$41,4,0),"")</f>
        <v/>
      </c>
      <c r="BC32" s="220" t="str">
        <f>IF($L32="○",VLOOKUP($AZ32,参照データ!$B$24:$G$41,5,0),"")</f>
        <v/>
      </c>
      <c r="BD32" s="220" t="str">
        <f>IF($M32="○",VLOOKUP($AZ32,参照データ!$B$24:$G$41,6,0),"")</f>
        <v/>
      </c>
      <c r="BE32" s="220" t="str">
        <f>IF($N32="○",VLOOKUP($AZ32,参照データ!$B$24:$H$41,7,0),"")</f>
        <v/>
      </c>
      <c r="BF32" s="221" t="str">
        <f>IF($O32="○",VLOOKUP($AZ32,参照データ!$B$24:$I$41,8,0),"")</f>
        <v/>
      </c>
      <c r="BG32" s="344" t="str">
        <f t="shared" si="18"/>
        <v/>
      </c>
      <c r="BH32" s="242" t="str">
        <f>IF($Q32="入門",VLOOKUP($AZ32,参照データ!$B$46:$U$63,3,0),IF($Q32="初級",VLOOKUP($AZ32,参照データ!$B$46:$U$63,4,0),IF($Q32="中級",VLOOKUP($AZ32,参照データ!$B$46:$U$63,5,0),IF($Q32="上級",VLOOKUP($AZ32,参照データ!$B$46:$U$63,6,0),""))))</f>
        <v/>
      </c>
      <c r="BI32" s="242" t="str">
        <f>IF($R32="初級",VLOOKUP($AZ32,参照データ!$B$46:$U$63,7,0),IF($R32="中級",VLOOKUP($AZ32,参照データ!$B$46:$U$63,8,0),IF($R32="上級",VLOOKUP($AZ32,参照データ!$B$46:$U$63,9,0),"")))</f>
        <v/>
      </c>
      <c r="BJ32" s="242" t="str">
        <f>IF($S32="初級",VLOOKUP($AZ32,参照データ!$B$46:$U$63,10,0),IF($S32="上級",VLOOKUP($AZ32,参照データ!$B$46:$U$63,11,0),""))</f>
        <v/>
      </c>
      <c r="BK32" s="242" t="str">
        <f>IF($T32="初級",VLOOKUP($AZ32,参照データ!$B$46:$U$63,15,0),IF($T32="中級",VLOOKUP($AZ32,参照データ!$B$46:$U$63,16,0),IF($T32="上級",VLOOKUP($AZ32,参照データ!$B$46:$U$63,17,0),"")))</f>
        <v/>
      </c>
      <c r="BL32" s="242" t="str">
        <f>IF($U32="初級",VLOOKUP($AZ32,参照データ!$B$46:$U$63,12,0),IF($U32="中級",VLOOKUP($AZ32,参照データ!$B$46:$U$63,13,0),IF($U32="上級",VLOOKUP($AZ32,参照データ!$B$46:$U$63,14,0),"")))</f>
        <v/>
      </c>
      <c r="BM32" s="21" t="str">
        <f t="shared" si="19"/>
        <v/>
      </c>
      <c r="BN32" s="21" t="str">
        <f>IF($V32="初級",VLOOKUP($AZ32,参照データ!$B$46:$U$63,18,0),IF($V32="中級",VLOOKUP($AZ32,参照データ!$B$46:$U$63,19,0),IF($V32="上級",VLOOKUP($AZ32,参照データ!$B$46:$U$63,20,0),"")))</f>
        <v/>
      </c>
      <c r="BO32" s="587"/>
      <c r="BP32" s="250" t="s">
        <v>259</v>
      </c>
      <c r="BQ32" s="251" t="str">
        <f t="shared" si="20"/>
        <v/>
      </c>
      <c r="BR32" s="595"/>
      <c r="BT32" s="241" t="e">
        <f t="shared" si="3"/>
        <v>#VALUE!</v>
      </c>
      <c r="BU32" s="245" t="str">
        <f>IF($X32="○",VLOOKUP($BT32,参照データ!$D$89:$F$100,3,0),"")</f>
        <v/>
      </c>
      <c r="BV32" s="246" t="str">
        <f t="shared" si="4"/>
        <v/>
      </c>
      <c r="BW32" s="245" t="str">
        <f>IF($Z32="○",VLOOKUP($BT32,参照データ!$D$89:$J$100,7,0),"")</f>
        <v/>
      </c>
      <c r="BX32" s="246" t="str">
        <f t="shared" si="5"/>
        <v/>
      </c>
      <c r="BY32" s="245" t="str">
        <f>IF($AB32="○",VLOOKUP($BT32,参照データ!$D$89:$N$100,11,0),"")</f>
        <v/>
      </c>
      <c r="BZ32" s="246" t="str">
        <f t="shared" si="6"/>
        <v/>
      </c>
      <c r="CA32" s="245" t="str">
        <f>IF($AD32="○",VLOOKUP($BT32,参照データ!$D$89:$T$100,17,0),"")</f>
        <v/>
      </c>
      <c r="CB32" s="246" t="str">
        <f t="shared" si="21"/>
        <v/>
      </c>
      <c r="CC32" s="245" t="str">
        <f>IF($AF32="○",VLOOKUP($BT32,参照データ!$D$89:$T$100,16,0),"")</f>
        <v/>
      </c>
      <c r="CD32" s="246" t="str">
        <f t="shared" si="22"/>
        <v/>
      </c>
      <c r="CE32" s="25">
        <f t="shared" si="23"/>
        <v>0</v>
      </c>
      <c r="CF32" s="312" t="e">
        <f t="shared" si="7"/>
        <v>#N/A</v>
      </c>
      <c r="CG32" s="300" t="str">
        <f t="shared" si="24"/>
        <v/>
      </c>
      <c r="CH32" s="645"/>
      <c r="CI32" s="252" t="s">
        <v>114</v>
      </c>
      <c r="CJ32" s="253" t="e">
        <f t="shared" si="8"/>
        <v>#N/A</v>
      </c>
      <c r="CK32" s="253" t="e">
        <f>VLOOKUP(CJ32,参照データ!$D$89:$R$100,15,0)</f>
        <v>#N/A</v>
      </c>
      <c r="CL32" s="647"/>
      <c r="CM32" s="288" t="e">
        <f>CM31</f>
        <v>#N/A</v>
      </c>
      <c r="CN32" s="290" t="str">
        <f>IF($AJ32="○",VLOOKUP($BT32,参照データ!$D$89:$V$100,19,0),"")</f>
        <v/>
      </c>
      <c r="CO32" s="246" t="str">
        <f t="shared" si="25"/>
        <v/>
      </c>
      <c r="CQ32" t="e">
        <f>IF(AND($AW32&gt;=参照データ!$C$132,$AW32&lt;=参照データ!$C$130),1,IF(AND($AW32&gt;=参照データ!$C$135,$AW32&lt;=参照データ!$C$133),2,IF(AND($AW32&gt;=参照データ!$C$138,$AW32&lt;=参照データ!$C$136),3,IF($AW32&lt;=参照データ!$C$139,4,0))))</f>
        <v>#VALUE!</v>
      </c>
      <c r="CR32" t="e">
        <f>IF($AV32="男子",VLOOKUP(CQ32,参照データ!$C$143:$D$150,2),CQ32)</f>
        <v>#VALUE!</v>
      </c>
      <c r="CS32" s="388" t="e">
        <f t="shared" si="26"/>
        <v>#VALUE!</v>
      </c>
      <c r="CT32" s="389" t="str">
        <f>IF($AM32="○",VLOOKUP($CS32,参照データ!$D$143:$F$150,3,0),"")</f>
        <v/>
      </c>
      <c r="CU32" s="390" t="str">
        <f t="shared" si="52"/>
        <v/>
      </c>
      <c r="CV32">
        <f t="shared" si="39"/>
        <v>0</v>
      </c>
      <c r="CW32" s="312" t="e">
        <f t="shared" si="9"/>
        <v>#N/A</v>
      </c>
      <c r="CX32" s="391" t="str">
        <f t="shared" si="28"/>
        <v/>
      </c>
      <c r="CY32" s="721"/>
      <c r="CZ32" s="395" t="s">
        <v>114</v>
      </c>
      <c r="DA32" s="396" t="e">
        <f t="shared" si="40"/>
        <v>#N/A</v>
      </c>
      <c r="DB32" s="396" t="e">
        <f>VLOOKUP(DA32,参照データ!$D$143:$J$150,7,0)</f>
        <v>#N/A</v>
      </c>
      <c r="DC32" s="723"/>
      <c r="DD32" s="397" t="e">
        <f t="shared" ref="DD32" si="59">DD31</f>
        <v>#N/A</v>
      </c>
      <c r="DF32" s="254">
        <f>(COUNTIF($J32:$O32,"&lt;&gt;"))*参照データ!$D$3</f>
        <v>0</v>
      </c>
      <c r="DG32" s="297">
        <f t="shared" si="29"/>
        <v>0</v>
      </c>
      <c r="DH32" s="157" cm="1">
        <f t="array" ref="DH32">(SUM(COUNTIF($Q32:$U32,{"入門","初級"}))*3000)+(SUM(COUNTIF($Q32:$U32,{"中級","上級"})*3500))</f>
        <v>0</v>
      </c>
      <c r="DI32" s="157">
        <f>IFERROR(VLOOKUP(V32,参照データ!$G$3:$I$6,3,0),0)</f>
        <v>0</v>
      </c>
      <c r="DJ32" s="469">
        <f t="shared" si="30"/>
        <v>0</v>
      </c>
      <c r="DK32" s="157">
        <f t="shared" si="31"/>
        <v>0</v>
      </c>
      <c r="DL32" s="157">
        <f t="shared" si="32"/>
        <v>0</v>
      </c>
      <c r="DM32" s="157">
        <f>(COUNTIF($AM32,"○"))*参照データ!$H$13</f>
        <v>0</v>
      </c>
      <c r="DN32" s="157">
        <f>(IF($AO32&gt;0,参照データ!$I$14,0))</f>
        <v>0</v>
      </c>
      <c r="DO32" s="249">
        <f t="array" ref="DO32">SUM(IF(ISERROR($DF32:$DN32),0,($DF32:$DN32)))</f>
        <v>0</v>
      </c>
      <c r="DP32" s="157"/>
      <c r="DQ32" s="157">
        <f t="shared" si="33"/>
        <v>0</v>
      </c>
      <c r="DR32" s="157">
        <f t="shared" si="34"/>
        <v>0</v>
      </c>
      <c r="DS32" s="157">
        <f t="shared" si="35"/>
        <v>0</v>
      </c>
      <c r="DT32" s="157">
        <f t="shared" si="36"/>
        <v>0</v>
      </c>
      <c r="DU32" s="157">
        <f t="shared" si="37"/>
        <v>0</v>
      </c>
      <c r="DV32" t="str">
        <f t="shared" si="10"/>
        <v/>
      </c>
    </row>
    <row r="33" spans="1:126" ht="18.75" customHeight="1" x14ac:dyDescent="0.2">
      <c r="A33">
        <v>21</v>
      </c>
      <c r="B33" s="183" t="str">
        <f>IF(D33="","",IF(D33="重複","",COUNTIF(B$13:$B32,"&gt;0")+1))</f>
        <v/>
      </c>
      <c r="C33" s="264"/>
      <c r="D33" s="134"/>
      <c r="E33" s="134"/>
      <c r="F33" s="135"/>
      <c r="G33" s="136"/>
      <c r="H33" s="169">
        <f t="shared" si="11"/>
        <v>0</v>
      </c>
      <c r="I33" s="170" t="str">
        <f t="shared" si="12"/>
        <v/>
      </c>
      <c r="J33" s="138"/>
      <c r="K33" s="138"/>
      <c r="L33" s="138"/>
      <c r="M33" s="139"/>
      <c r="N33" s="146"/>
      <c r="O33" s="141"/>
      <c r="P33" s="336"/>
      <c r="Q33" s="142"/>
      <c r="R33" s="143"/>
      <c r="S33" s="143"/>
      <c r="T33" s="144"/>
      <c r="U33" s="143"/>
      <c r="V33" s="267"/>
      <c r="W33" s="145"/>
      <c r="X33" s="269"/>
      <c r="Y33" s="148" t="str">
        <f>IF($X33="○",VLOOKUP($AY33,参照データ!$D$89:$E$100,2),"")</f>
        <v/>
      </c>
      <c r="Z33" s="271"/>
      <c r="AA33" s="148" t="str">
        <f>IF($Z33="○",VLOOKUP($AY33,参照データ!$D$89:$J$100,6),"")</f>
        <v/>
      </c>
      <c r="AB33" s="271"/>
      <c r="AC33" s="148" t="str">
        <f>IF($AB33="○",VLOOKUP($AY33,参照データ!$D$89:$N$100,10),"")</f>
        <v/>
      </c>
      <c r="AD33" s="271"/>
      <c r="AE33" s="148" t="str">
        <f>IF($AD33="○",VLOOKUP($AY33,参照データ!$D$89:$Q$100,14),"")</f>
        <v/>
      </c>
      <c r="AF33" s="271"/>
      <c r="AG33" s="148" t="str">
        <f>IF($AF33="○",VLOOKUP($AY33,参照データ!$D$89:$Q$100,14),"")</f>
        <v/>
      </c>
      <c r="AH33" s="266"/>
      <c r="AI33" s="370" t="str">
        <f t="shared" si="38"/>
        <v/>
      </c>
      <c r="AJ33" s="498"/>
      <c r="AK33" s="497" t="str">
        <f>IF($AJ33="○",VLOOKUP($AY33,参照データ!$D$89:$U$100,18),"")</f>
        <v/>
      </c>
      <c r="AL33" s="170" t="str">
        <f t="shared" si="13"/>
        <v/>
      </c>
      <c r="AM33" s="269"/>
      <c r="AN33" s="413" t="str">
        <f>IF($AM33="○",VLOOKUP($CR33,参照データ!$D$143:$E$150,2),"")</f>
        <v/>
      </c>
      <c r="AO33" s="416"/>
      <c r="AP33" s="366" t="str">
        <f t="shared" si="14"/>
        <v/>
      </c>
      <c r="AQ33" s="465"/>
      <c r="AR33" s="466"/>
      <c r="AU33" s="273" t="str">
        <f t="shared" si="15"/>
        <v/>
      </c>
      <c r="AV33" s="274" t="str">
        <f t="shared" si="16"/>
        <v/>
      </c>
      <c r="AW33" s="226" t="e">
        <f t="shared" si="17"/>
        <v>#VALUE!</v>
      </c>
      <c r="AX33" t="e">
        <f>IF(AND(AW33&gt;=参照データ!$C$71,AW33&lt;=参照データ!$C$69),1,IF(AND(AW33&gt;=参照データ!$C$74,AW33&lt;=参照データ!$C$72),2,IF(AND(AW33&gt;=参照データ!$C$77,AW33&lt;=参照データ!$C$75),3,IF(AND(AW33&gt;=参照データ!$C$80,AW33&lt;=参照データ!$C$78),4,IF(AND(AW33&gt;=参照データ!$C$83,AW33&lt;=参照データ!$C$81),5,IF(AW33&lt;=参照データ!$C$84,6,0))))))</f>
        <v>#VALUE!</v>
      </c>
      <c r="AY33" t="e">
        <f>IF(AV33="男子",VLOOKUP(AX33,参照データ!$C$95:$D$100,2),AX33)</f>
        <v>#VALUE!</v>
      </c>
      <c r="AZ33" s="241" t="str">
        <f t="shared" si="2"/>
        <v/>
      </c>
      <c r="BA33" s="219" t="str">
        <f>IF($J33="○",VLOOKUP($AZ33,参照データ!$B$24:$G$41,3,0),"")</f>
        <v/>
      </c>
      <c r="BB33" s="220" t="str">
        <f>IF($K33="○",VLOOKUP($AZ33,参照データ!$B$24:$G$41,4,0),"")</f>
        <v/>
      </c>
      <c r="BC33" s="220" t="str">
        <f>IF($L33="○",VLOOKUP($AZ33,参照データ!$B$24:$G$41,5,0),"")</f>
        <v/>
      </c>
      <c r="BD33" s="220" t="str">
        <f>IF($M33="○",VLOOKUP($AZ33,参照データ!$B$24:$G$41,6,0),"")</f>
        <v/>
      </c>
      <c r="BE33" s="220" t="str">
        <f>IF($N33="○",VLOOKUP($AZ33,参照データ!$B$24:$H$41,7,0),"")</f>
        <v/>
      </c>
      <c r="BF33" s="221" t="str">
        <f>IF($O33="○",VLOOKUP($AZ33,参照データ!$B$24:$I$41,8,0),"")</f>
        <v/>
      </c>
      <c r="BG33" s="344" t="str">
        <f t="shared" si="18"/>
        <v/>
      </c>
      <c r="BH33" s="242" t="str">
        <f>IF($Q33="入門",VLOOKUP($AZ33,参照データ!$B$46:$U$63,3,0),IF($Q33="初級",VLOOKUP($AZ33,参照データ!$B$46:$U$63,4,0),IF($Q33="中級",VLOOKUP($AZ33,参照データ!$B$46:$U$63,5,0),IF($Q33="上級",VLOOKUP($AZ33,参照データ!$B$46:$U$63,6,0),""))))</f>
        <v/>
      </c>
      <c r="BI33" s="242" t="str">
        <f>IF($R33="初級",VLOOKUP($AZ33,参照データ!$B$46:$U$63,7,0),IF($R33="中級",VLOOKUP($AZ33,参照データ!$B$46:$U$63,8,0),IF($R33="上級",VLOOKUP($AZ33,参照データ!$B$46:$U$63,9,0),"")))</f>
        <v/>
      </c>
      <c r="BJ33" s="242" t="str">
        <f>IF($S33="初級",VLOOKUP($AZ33,参照データ!$B$46:$U$63,10,0),IF($S33="上級",VLOOKUP($AZ33,参照データ!$B$46:$U$63,11,0),""))</f>
        <v/>
      </c>
      <c r="BK33" s="242" t="str">
        <f>IF($T33="初級",VLOOKUP($AZ33,参照データ!$B$46:$U$63,15,0),IF($T33="中級",VLOOKUP($AZ33,参照データ!$B$46:$U$63,16,0),IF($T33="上級",VLOOKUP($AZ33,参照データ!$B$46:$U$63,17,0),"")))</f>
        <v/>
      </c>
      <c r="BL33" s="242" t="str">
        <f>IF($U33="初級",VLOOKUP($AZ33,参照データ!$B$46:$U$63,12,0),IF($U33="中級",VLOOKUP($AZ33,参照データ!$B$46:$U$63,13,0),IF($U33="上級",VLOOKUP($AZ33,参照データ!$B$46:$U$63,14,0),"")))</f>
        <v/>
      </c>
      <c r="BM33" s="21" t="str">
        <f t="shared" si="19"/>
        <v/>
      </c>
      <c r="BN33" s="21" t="str">
        <f>IF($V33="初級",VLOOKUP($AZ33,参照データ!$B$46:$U$63,18,0),IF($V33="中級",VLOOKUP($AZ33,参照データ!$B$46:$U$63,19,0),IF($V33="上級",VLOOKUP($AZ33,参照データ!$B$46:$U$63,20,0),"")))</f>
        <v/>
      </c>
      <c r="BO33" s="604">
        <v>11</v>
      </c>
      <c r="BP33" s="255" t="s">
        <v>260</v>
      </c>
      <c r="BQ33" s="251" t="str">
        <f t="shared" si="20"/>
        <v/>
      </c>
      <c r="BR33" s="594" t="str">
        <f>IF(OR($BQ33="",$BQ34=""),"",IF($BQ33&gt;$BQ34,$BQ33,$BQ34))</f>
        <v/>
      </c>
      <c r="BT33" s="241" t="e">
        <f t="shared" si="3"/>
        <v>#VALUE!</v>
      </c>
      <c r="BU33" s="245" t="str">
        <f>IF($X33="○",VLOOKUP($BT33,参照データ!$D$89:$F$100,3,0),"")</f>
        <v/>
      </c>
      <c r="BV33" s="246" t="str">
        <f t="shared" si="4"/>
        <v/>
      </c>
      <c r="BW33" s="245" t="str">
        <f>IF($Z33="○",VLOOKUP($BT33,参照データ!$D$89:$J$100,7,0),"")</f>
        <v/>
      </c>
      <c r="BX33" s="246" t="str">
        <f t="shared" si="5"/>
        <v/>
      </c>
      <c r="BY33" s="245" t="str">
        <f>IF($AB33="○",VLOOKUP($BT33,参照データ!$D$89:$N$100,11,0),"")</f>
        <v/>
      </c>
      <c r="BZ33" s="246" t="str">
        <f t="shared" si="6"/>
        <v/>
      </c>
      <c r="CA33" s="245" t="str">
        <f>IF($AD33="○",VLOOKUP($BT33,参照データ!$D$89:$T$100,17,0),"")</f>
        <v/>
      </c>
      <c r="CB33" s="246" t="str">
        <f t="shared" si="21"/>
        <v/>
      </c>
      <c r="CC33" s="245" t="str">
        <f>IF($AF33="○",VLOOKUP($BT33,参照データ!$D$89:$T$100,16,0),"")</f>
        <v/>
      </c>
      <c r="CD33" s="246" t="str">
        <f t="shared" si="22"/>
        <v/>
      </c>
      <c r="CE33" s="25">
        <f t="shared" si="23"/>
        <v>0</v>
      </c>
      <c r="CF33" s="312" t="e">
        <f t="shared" si="7"/>
        <v>#N/A</v>
      </c>
      <c r="CG33" s="300" t="str">
        <f t="shared" si="24"/>
        <v/>
      </c>
      <c r="CH33" s="648">
        <v>11</v>
      </c>
      <c r="CI33" s="256" t="s">
        <v>115</v>
      </c>
      <c r="CJ33" s="257" t="e">
        <f t="shared" si="8"/>
        <v>#N/A</v>
      </c>
      <c r="CK33" s="257" t="e">
        <f>VLOOKUP(CJ33,参照データ!$D$89:$R$100,15,0)</f>
        <v>#N/A</v>
      </c>
      <c r="CL33" s="649" t="e">
        <f>IF(OR($CJ33="",$CJ34=""),"",IF($CJ33&gt;$CJ34,$CK33,$CK34))</f>
        <v>#N/A</v>
      </c>
      <c r="CM33" s="289" t="e">
        <f>INDEX(参照データ!$Q$89:$Q$100,MATCH($CL33,参照データ!$R$89:$R$100,0))</f>
        <v>#N/A</v>
      </c>
      <c r="CN33" s="290" t="str">
        <f>IF($AJ33="○",VLOOKUP($BT33,参照データ!$D$89:$V$100,19,0),"")</f>
        <v/>
      </c>
      <c r="CO33" s="246" t="str">
        <f t="shared" si="25"/>
        <v/>
      </c>
      <c r="CQ33" t="e">
        <f>IF(AND($AW33&gt;=参照データ!$C$132,$AW33&lt;=参照データ!$C$130),1,IF(AND($AW33&gt;=参照データ!$C$135,$AW33&lt;=参照データ!$C$133),2,IF(AND($AW33&gt;=参照データ!$C$138,$AW33&lt;=参照データ!$C$136),3,IF($AW33&lt;=参照データ!$C$139,4,0))))</f>
        <v>#VALUE!</v>
      </c>
      <c r="CR33" t="e">
        <f>IF($AV33="男子",VLOOKUP(CQ33,参照データ!$C$143:$D$150,2),CQ33)</f>
        <v>#VALUE!</v>
      </c>
      <c r="CS33" s="388" t="e">
        <f t="shared" si="26"/>
        <v>#VALUE!</v>
      </c>
      <c r="CT33" s="389" t="str">
        <f>IF($AM33="○",VLOOKUP($CS33,参照データ!$D$143:$F$150,3,0),"")</f>
        <v/>
      </c>
      <c r="CU33" s="390" t="str">
        <f t="shared" si="52"/>
        <v/>
      </c>
      <c r="CV33">
        <f t="shared" si="39"/>
        <v>0</v>
      </c>
      <c r="CW33" s="312" t="e">
        <f t="shared" si="9"/>
        <v>#N/A</v>
      </c>
      <c r="CX33" s="391" t="str">
        <f t="shared" si="28"/>
        <v/>
      </c>
      <c r="CY33" s="724">
        <v>11</v>
      </c>
      <c r="CZ33" s="398" t="s">
        <v>115</v>
      </c>
      <c r="DA33" s="399" t="e">
        <f t="shared" si="40"/>
        <v>#N/A</v>
      </c>
      <c r="DB33" s="399" t="e">
        <f>VLOOKUP(DA33,参照データ!$D$143:$J$150,7,0)</f>
        <v>#N/A</v>
      </c>
      <c r="DC33" s="725" t="e">
        <f t="shared" ref="DC33" si="60">IF(OR($DA33="",$DA34=""),"",IF($DA33&gt;$DA34,$DB33,$DB34))</f>
        <v>#N/A</v>
      </c>
      <c r="DD33" s="400" t="e">
        <f>INDEX(参照データ!$I$143:$I$150,MATCH($DC33,参照データ!$J$143:$J$150,0))</f>
        <v>#N/A</v>
      </c>
      <c r="DF33" s="254">
        <f>(COUNTIF($J33:$O33,"&lt;&gt;"))*参照データ!$D$3</f>
        <v>0</v>
      </c>
      <c r="DG33" s="297">
        <f t="shared" si="29"/>
        <v>0</v>
      </c>
      <c r="DH33" s="157" cm="1">
        <f t="array" ref="DH33">(SUM(COUNTIF($Q33:$U33,{"入門","初級"}))*3000)+(SUM(COUNTIF($Q33:$U33,{"中級","上級"})*3500))</f>
        <v>0</v>
      </c>
      <c r="DI33" s="157">
        <f>IFERROR(VLOOKUP(V33,参照データ!$G$3:$I$6,3,0),0)</f>
        <v>0</v>
      </c>
      <c r="DJ33" s="469">
        <f t="shared" si="30"/>
        <v>0</v>
      </c>
      <c r="DK33" s="157">
        <f t="shared" si="31"/>
        <v>0</v>
      </c>
      <c r="DL33" s="157">
        <f t="shared" si="32"/>
        <v>0</v>
      </c>
      <c r="DM33" s="157">
        <f>(COUNTIF($AM33,"○"))*参照データ!$H$13</f>
        <v>0</v>
      </c>
      <c r="DN33" s="157">
        <f>(IF($AO33&gt;0,参照データ!$I$14,0))</f>
        <v>0</v>
      </c>
      <c r="DO33" s="249">
        <f t="array" ref="DO33">SUM(IF(ISERROR($DF33:$DN33),0,($DF33:$DN33)))</f>
        <v>0</v>
      </c>
      <c r="DP33" s="157"/>
      <c r="DQ33" s="157">
        <f t="shared" si="33"/>
        <v>0</v>
      </c>
      <c r="DR33" s="157">
        <f t="shared" si="34"/>
        <v>0</v>
      </c>
      <c r="DS33" s="157">
        <f t="shared" si="35"/>
        <v>0</v>
      </c>
      <c r="DT33" s="157">
        <f t="shared" si="36"/>
        <v>0</v>
      </c>
      <c r="DU33" s="157">
        <f t="shared" si="37"/>
        <v>0</v>
      </c>
      <c r="DV33" t="str">
        <f t="shared" si="10"/>
        <v/>
      </c>
    </row>
    <row r="34" spans="1:126" ht="18.75" customHeight="1" x14ac:dyDescent="0.2">
      <c r="A34">
        <v>22</v>
      </c>
      <c r="B34" s="183" t="str">
        <f>IF(D34="","",IF(D34="重複","",COUNTIF(B$13:$B33,"&gt;0")+1))</f>
        <v/>
      </c>
      <c r="C34" s="264"/>
      <c r="D34" s="134"/>
      <c r="E34" s="134"/>
      <c r="F34" s="135"/>
      <c r="G34" s="136"/>
      <c r="H34" s="169">
        <f t="shared" si="11"/>
        <v>0</v>
      </c>
      <c r="I34" s="170" t="str">
        <f t="shared" si="12"/>
        <v/>
      </c>
      <c r="J34" s="138"/>
      <c r="K34" s="138"/>
      <c r="L34" s="138"/>
      <c r="M34" s="139"/>
      <c r="N34" s="146"/>
      <c r="O34" s="141"/>
      <c r="P34" s="336"/>
      <c r="Q34" s="142"/>
      <c r="R34" s="143"/>
      <c r="S34" s="143"/>
      <c r="T34" s="144"/>
      <c r="U34" s="143"/>
      <c r="V34" s="267"/>
      <c r="W34" s="145"/>
      <c r="X34" s="269"/>
      <c r="Y34" s="148" t="str">
        <f>IF($X34="○",VLOOKUP($AY34,参照データ!$D$89:$E$100,2),"")</f>
        <v/>
      </c>
      <c r="Z34" s="271"/>
      <c r="AA34" s="148" t="str">
        <f>IF($Z34="○",VLOOKUP($AY34,参照データ!$D$89:$J$100,6),"")</f>
        <v/>
      </c>
      <c r="AB34" s="271"/>
      <c r="AC34" s="148" t="str">
        <f>IF($AB34="○",VLOOKUP($AY34,参照データ!$D$89:$N$100,10),"")</f>
        <v/>
      </c>
      <c r="AD34" s="271"/>
      <c r="AE34" s="148" t="str">
        <f>IF($AD34="○",VLOOKUP($AY34,参照データ!$D$89:$Q$100,14),"")</f>
        <v/>
      </c>
      <c r="AF34" s="271"/>
      <c r="AG34" s="148" t="str">
        <f>IF($AF34="○",VLOOKUP($AY34,参照データ!$D$89:$Q$100,14),"")</f>
        <v/>
      </c>
      <c r="AH34" s="266"/>
      <c r="AI34" s="370" t="str">
        <f t="shared" si="38"/>
        <v/>
      </c>
      <c r="AJ34" s="498"/>
      <c r="AK34" s="497" t="str">
        <f>IF($AJ34="○",VLOOKUP($AY34,参照データ!$D$89:$U$100,18),"")</f>
        <v/>
      </c>
      <c r="AL34" s="170" t="str">
        <f t="shared" si="13"/>
        <v/>
      </c>
      <c r="AM34" s="269"/>
      <c r="AN34" s="413" t="str">
        <f>IF($AM34="○",VLOOKUP($CR34,参照データ!$D$143:$E$150,2),"")</f>
        <v/>
      </c>
      <c r="AO34" s="416"/>
      <c r="AP34" s="366" t="str">
        <f t="shared" si="14"/>
        <v/>
      </c>
      <c r="AQ34" s="465"/>
      <c r="AR34" s="466"/>
      <c r="AU34" s="273" t="str">
        <f t="shared" si="15"/>
        <v/>
      </c>
      <c r="AV34" s="274" t="str">
        <f t="shared" si="16"/>
        <v/>
      </c>
      <c r="AW34" s="226" t="e">
        <f t="shared" si="17"/>
        <v>#VALUE!</v>
      </c>
      <c r="AX34" t="e">
        <f>IF(AND(AW34&gt;=参照データ!$C$71,AW34&lt;=参照データ!$C$69),1,IF(AND(AW34&gt;=参照データ!$C$74,AW34&lt;=参照データ!$C$72),2,IF(AND(AW34&gt;=参照データ!$C$77,AW34&lt;=参照データ!$C$75),3,IF(AND(AW34&gt;=参照データ!$C$80,AW34&lt;=参照データ!$C$78),4,IF(AND(AW34&gt;=参照データ!$C$83,AW34&lt;=参照データ!$C$81),5,IF(AW34&lt;=参照データ!$C$84,6,0))))))</f>
        <v>#VALUE!</v>
      </c>
      <c r="AY34" t="e">
        <f>IF(AV34="男子",VLOOKUP(AX34,参照データ!$C$95:$D$100,2),AX34)</f>
        <v>#VALUE!</v>
      </c>
      <c r="AZ34" s="241" t="str">
        <f t="shared" si="2"/>
        <v/>
      </c>
      <c r="BA34" s="219" t="str">
        <f>IF($J34="○",VLOOKUP($AZ34,参照データ!$B$24:$G$41,3,0),"")</f>
        <v/>
      </c>
      <c r="BB34" s="220" t="str">
        <f>IF($K34="○",VLOOKUP($AZ34,参照データ!$B$24:$G$41,4,0),"")</f>
        <v/>
      </c>
      <c r="BC34" s="220" t="str">
        <f>IF($L34="○",VLOOKUP($AZ34,参照データ!$B$24:$G$41,5,0),"")</f>
        <v/>
      </c>
      <c r="BD34" s="220" t="str">
        <f>IF($M34="○",VLOOKUP($AZ34,参照データ!$B$24:$G$41,6,0),"")</f>
        <v/>
      </c>
      <c r="BE34" s="220" t="str">
        <f>IF($N34="○",VLOOKUP($AZ34,参照データ!$B$24:$H$41,7,0),"")</f>
        <v/>
      </c>
      <c r="BF34" s="221" t="str">
        <f>IF($O34="○",VLOOKUP($AZ34,参照データ!$B$24:$I$41,8,0),"")</f>
        <v/>
      </c>
      <c r="BG34" s="344" t="str">
        <f t="shared" si="18"/>
        <v/>
      </c>
      <c r="BH34" s="242" t="str">
        <f>IF($Q34="入門",VLOOKUP($AZ34,参照データ!$B$46:$U$63,3,0),IF($Q34="初級",VLOOKUP($AZ34,参照データ!$B$46:$U$63,4,0),IF($Q34="中級",VLOOKUP($AZ34,参照データ!$B$46:$U$63,5,0),IF($Q34="上級",VLOOKUP($AZ34,参照データ!$B$46:$U$63,6,0),""))))</f>
        <v/>
      </c>
      <c r="BI34" s="242" t="str">
        <f>IF($R34="初級",VLOOKUP($AZ34,参照データ!$B$46:$U$63,7,0),IF($R34="中級",VLOOKUP($AZ34,参照データ!$B$46:$U$63,8,0),IF($R34="上級",VLOOKUP($AZ34,参照データ!$B$46:$U$63,9,0),"")))</f>
        <v/>
      </c>
      <c r="BJ34" s="242" t="str">
        <f>IF($S34="初級",VLOOKUP($AZ34,参照データ!$B$46:$U$63,10,0),IF($S34="上級",VLOOKUP($AZ34,参照データ!$B$46:$U$63,11,0),""))</f>
        <v/>
      </c>
      <c r="BK34" s="242" t="str">
        <f>IF($T34="初級",VLOOKUP($AZ34,参照データ!$B$46:$U$63,15,0),IF($T34="中級",VLOOKUP($AZ34,参照データ!$B$46:$U$63,16,0),IF($T34="上級",VLOOKUP($AZ34,参照データ!$B$46:$U$63,17,0),"")))</f>
        <v/>
      </c>
      <c r="BL34" s="242" t="str">
        <f>IF($U34="初級",VLOOKUP($AZ34,参照データ!$B$46:$U$63,12,0),IF($U34="中級",VLOOKUP($AZ34,参照データ!$B$46:$U$63,13,0),IF($U34="上級",VLOOKUP($AZ34,参照データ!$B$46:$U$63,14,0),"")))</f>
        <v/>
      </c>
      <c r="BM34" s="21" t="str">
        <f t="shared" si="19"/>
        <v/>
      </c>
      <c r="BN34" s="21" t="str">
        <f>IF($V34="初級",VLOOKUP($AZ34,参照データ!$B$46:$U$63,18,0),IF($V34="中級",VLOOKUP($AZ34,参照データ!$B$46:$U$63,19,0),IF($V34="上級",VLOOKUP($AZ34,参照データ!$B$46:$U$63,20,0),"")))</f>
        <v/>
      </c>
      <c r="BO34" s="587"/>
      <c r="BP34" s="250" t="s">
        <v>261</v>
      </c>
      <c r="BQ34" s="251" t="str">
        <f t="shared" si="20"/>
        <v/>
      </c>
      <c r="BR34" s="595"/>
      <c r="BT34" s="241" t="e">
        <f t="shared" si="3"/>
        <v>#VALUE!</v>
      </c>
      <c r="BU34" s="245" t="str">
        <f>IF($X34="○",VLOOKUP($BT34,参照データ!$D$89:$F$100,3,0),"")</f>
        <v/>
      </c>
      <c r="BV34" s="246" t="str">
        <f t="shared" si="4"/>
        <v/>
      </c>
      <c r="BW34" s="245" t="str">
        <f>IF($Z34="○",VLOOKUP($BT34,参照データ!$D$89:$J$100,7,0),"")</f>
        <v/>
      </c>
      <c r="BX34" s="246" t="str">
        <f t="shared" si="5"/>
        <v/>
      </c>
      <c r="BY34" s="245" t="str">
        <f>IF($AB34="○",VLOOKUP($BT34,参照データ!$D$89:$N$100,11,0),"")</f>
        <v/>
      </c>
      <c r="BZ34" s="246" t="str">
        <f t="shared" si="6"/>
        <v/>
      </c>
      <c r="CA34" s="245" t="str">
        <f>IF($AD34="○",VLOOKUP($BT34,参照データ!$D$89:$T$100,17,0),"")</f>
        <v/>
      </c>
      <c r="CB34" s="246" t="str">
        <f t="shared" si="21"/>
        <v/>
      </c>
      <c r="CC34" s="245" t="str">
        <f>IF($AF34="○",VLOOKUP($BT34,参照データ!$D$89:$T$100,16,0),"")</f>
        <v/>
      </c>
      <c r="CD34" s="246" t="str">
        <f t="shared" si="22"/>
        <v/>
      </c>
      <c r="CE34" s="25">
        <f t="shared" si="23"/>
        <v>0</v>
      </c>
      <c r="CF34" s="312" t="e">
        <f t="shared" si="7"/>
        <v>#N/A</v>
      </c>
      <c r="CG34" s="300" t="str">
        <f t="shared" si="24"/>
        <v/>
      </c>
      <c r="CH34" s="645"/>
      <c r="CI34" s="252" t="s">
        <v>116</v>
      </c>
      <c r="CJ34" s="253" t="e">
        <f t="shared" si="8"/>
        <v>#N/A</v>
      </c>
      <c r="CK34" s="253" t="e">
        <f>VLOOKUP(CJ34,参照データ!$D$89:$R$100,15,0)</f>
        <v>#N/A</v>
      </c>
      <c r="CL34" s="647"/>
      <c r="CM34" s="288" t="e">
        <f>CM33</f>
        <v>#N/A</v>
      </c>
      <c r="CN34" s="290" t="str">
        <f>IF($AJ34="○",VLOOKUP($BT34,参照データ!$D$89:$V$100,19,0),"")</f>
        <v/>
      </c>
      <c r="CO34" s="246" t="str">
        <f t="shared" si="25"/>
        <v/>
      </c>
      <c r="CQ34" t="e">
        <f>IF(AND($AW34&gt;=参照データ!$C$132,$AW34&lt;=参照データ!$C$130),1,IF(AND($AW34&gt;=参照データ!$C$135,$AW34&lt;=参照データ!$C$133),2,IF(AND($AW34&gt;=参照データ!$C$138,$AW34&lt;=参照データ!$C$136),3,IF($AW34&lt;=参照データ!$C$139,4,0))))</f>
        <v>#VALUE!</v>
      </c>
      <c r="CR34" t="e">
        <f>IF($AV34="男子",VLOOKUP(CQ34,参照データ!$C$143:$D$150,2),CQ34)</f>
        <v>#VALUE!</v>
      </c>
      <c r="CS34" s="388" t="e">
        <f t="shared" si="26"/>
        <v>#VALUE!</v>
      </c>
      <c r="CT34" s="389" t="str">
        <f>IF($AM34="○",VLOOKUP($CS34,参照データ!$D$143:$F$150,3,0),"")</f>
        <v/>
      </c>
      <c r="CU34" s="390" t="str">
        <f t="shared" si="52"/>
        <v/>
      </c>
      <c r="CV34">
        <f t="shared" si="39"/>
        <v>0</v>
      </c>
      <c r="CW34" s="312" t="e">
        <f t="shared" si="9"/>
        <v>#N/A</v>
      </c>
      <c r="CX34" s="391" t="str">
        <f t="shared" si="28"/>
        <v/>
      </c>
      <c r="CY34" s="721"/>
      <c r="CZ34" s="395" t="s">
        <v>116</v>
      </c>
      <c r="DA34" s="396" t="e">
        <f t="shared" si="40"/>
        <v>#N/A</v>
      </c>
      <c r="DB34" s="396" t="e">
        <f>VLOOKUP(DA34,参照データ!$D$143:$J$150,7,0)</f>
        <v>#N/A</v>
      </c>
      <c r="DC34" s="723"/>
      <c r="DD34" s="397" t="e">
        <f t="shared" ref="DD34" si="61">DD33</f>
        <v>#N/A</v>
      </c>
      <c r="DF34" s="254">
        <f>(COUNTIF($J34:$O34,"&lt;&gt;"))*参照データ!$D$3</f>
        <v>0</v>
      </c>
      <c r="DG34" s="297">
        <f t="shared" si="29"/>
        <v>0</v>
      </c>
      <c r="DH34" s="157" cm="1">
        <f t="array" ref="DH34">(SUM(COUNTIF($Q34:$U34,{"入門","初級"}))*3000)+(SUM(COUNTIF($Q34:$U34,{"中級","上級"})*3500))</f>
        <v>0</v>
      </c>
      <c r="DI34" s="157">
        <f>IFERROR(VLOOKUP(V34,参照データ!$G$3:$I$6,3,0),0)</f>
        <v>0</v>
      </c>
      <c r="DJ34" s="469">
        <f t="shared" si="30"/>
        <v>0</v>
      </c>
      <c r="DK34" s="157">
        <f t="shared" si="31"/>
        <v>0</v>
      </c>
      <c r="DL34" s="157">
        <f t="shared" si="32"/>
        <v>0</v>
      </c>
      <c r="DM34" s="157">
        <f>(COUNTIF($AM34,"○"))*参照データ!$H$13</f>
        <v>0</v>
      </c>
      <c r="DN34" s="157">
        <f>(IF($AO34&gt;0,参照データ!$I$14,0))</f>
        <v>0</v>
      </c>
      <c r="DO34" s="249">
        <f t="array" ref="DO34">SUM(IF(ISERROR($DF34:$DN34),0,($DF34:$DN34)))</f>
        <v>0</v>
      </c>
      <c r="DP34" s="157"/>
      <c r="DQ34" s="157">
        <f t="shared" si="33"/>
        <v>0</v>
      </c>
      <c r="DR34" s="157">
        <f t="shared" si="34"/>
        <v>0</v>
      </c>
      <c r="DS34" s="157">
        <f t="shared" si="35"/>
        <v>0</v>
      </c>
      <c r="DT34" s="157">
        <f t="shared" si="36"/>
        <v>0</v>
      </c>
      <c r="DU34" s="157">
        <f t="shared" si="37"/>
        <v>0</v>
      </c>
      <c r="DV34" t="str">
        <f t="shared" si="10"/>
        <v/>
      </c>
    </row>
    <row r="35" spans="1:126" ht="18.75" customHeight="1" x14ac:dyDescent="0.2">
      <c r="A35">
        <v>23</v>
      </c>
      <c r="B35" s="183" t="str">
        <f>IF(D35="","",IF(D35="重複","",COUNTIF(B$13:$B34,"&gt;0")+1))</f>
        <v/>
      </c>
      <c r="C35" s="264"/>
      <c r="D35" s="134"/>
      <c r="E35" s="134"/>
      <c r="F35" s="135"/>
      <c r="G35" s="136"/>
      <c r="H35" s="169">
        <f t="shared" si="11"/>
        <v>0</v>
      </c>
      <c r="I35" s="170" t="str">
        <f t="shared" si="12"/>
        <v/>
      </c>
      <c r="J35" s="138"/>
      <c r="K35" s="138"/>
      <c r="L35" s="138"/>
      <c r="M35" s="139"/>
      <c r="N35" s="146"/>
      <c r="O35" s="141"/>
      <c r="P35" s="336"/>
      <c r="Q35" s="142"/>
      <c r="R35" s="143"/>
      <c r="S35" s="143"/>
      <c r="T35" s="144"/>
      <c r="U35" s="143"/>
      <c r="V35" s="267"/>
      <c r="W35" s="145"/>
      <c r="X35" s="269"/>
      <c r="Y35" s="148" t="str">
        <f>IF($X35="○",VLOOKUP($AY35,参照データ!$D$89:$E$100,2),"")</f>
        <v/>
      </c>
      <c r="Z35" s="271"/>
      <c r="AA35" s="148" t="str">
        <f>IF($Z35="○",VLOOKUP($AY35,参照データ!$D$89:$J$100,6),"")</f>
        <v/>
      </c>
      <c r="AB35" s="271"/>
      <c r="AC35" s="148" t="str">
        <f>IF($AB35="○",VLOOKUP($AY35,参照データ!$D$89:$N$100,10),"")</f>
        <v/>
      </c>
      <c r="AD35" s="271"/>
      <c r="AE35" s="148" t="str">
        <f>IF($AD35="○",VLOOKUP($AY35,参照データ!$D$89:$Q$100,14),"")</f>
        <v/>
      </c>
      <c r="AF35" s="271"/>
      <c r="AG35" s="148" t="str">
        <f>IF($AF35="○",VLOOKUP($AY35,参照データ!$D$89:$Q$100,14),"")</f>
        <v/>
      </c>
      <c r="AH35" s="266"/>
      <c r="AI35" s="370" t="str">
        <f t="shared" si="38"/>
        <v/>
      </c>
      <c r="AJ35" s="498"/>
      <c r="AK35" s="497" t="str">
        <f>IF($AJ35="○",VLOOKUP($AY35,参照データ!$D$89:$U$100,18),"")</f>
        <v/>
      </c>
      <c r="AL35" s="170" t="str">
        <f t="shared" si="13"/>
        <v/>
      </c>
      <c r="AM35" s="269"/>
      <c r="AN35" s="413" t="str">
        <f>IF($AM35="○",VLOOKUP($CR35,参照データ!$D$143:$E$150,2),"")</f>
        <v/>
      </c>
      <c r="AO35" s="416"/>
      <c r="AP35" s="366" t="str">
        <f t="shared" si="14"/>
        <v/>
      </c>
      <c r="AQ35" s="465"/>
      <c r="AR35" s="466"/>
      <c r="AU35" s="273" t="str">
        <f t="shared" si="15"/>
        <v/>
      </c>
      <c r="AV35" s="274" t="str">
        <f t="shared" si="16"/>
        <v/>
      </c>
      <c r="AW35" s="226" t="e">
        <f t="shared" si="17"/>
        <v>#VALUE!</v>
      </c>
      <c r="AX35" t="e">
        <f>IF(AND(AW35&gt;=参照データ!$C$71,AW35&lt;=参照データ!$C$69),1,IF(AND(AW35&gt;=参照データ!$C$74,AW35&lt;=参照データ!$C$72),2,IF(AND(AW35&gt;=参照データ!$C$77,AW35&lt;=参照データ!$C$75),3,IF(AND(AW35&gt;=参照データ!$C$80,AW35&lt;=参照データ!$C$78),4,IF(AND(AW35&gt;=参照データ!$C$83,AW35&lt;=参照データ!$C$81),5,IF(AW35&lt;=参照データ!$C$84,6,0))))))</f>
        <v>#VALUE!</v>
      </c>
      <c r="AY35" t="e">
        <f>IF(AV35="男子",VLOOKUP(AX35,参照データ!$C$95:$D$100,2),AX35)</f>
        <v>#VALUE!</v>
      </c>
      <c r="AZ35" s="241" t="str">
        <f t="shared" si="2"/>
        <v/>
      </c>
      <c r="BA35" s="219" t="str">
        <f>IF($J35="○",VLOOKUP($AZ35,参照データ!$B$24:$G$41,3,0),"")</f>
        <v/>
      </c>
      <c r="BB35" s="220" t="str">
        <f>IF($K35="○",VLOOKUP($AZ35,参照データ!$B$24:$G$41,4,0),"")</f>
        <v/>
      </c>
      <c r="BC35" s="220" t="str">
        <f>IF($L35="○",VLOOKUP($AZ35,参照データ!$B$24:$G$41,5,0),"")</f>
        <v/>
      </c>
      <c r="BD35" s="220" t="str">
        <f>IF($M35="○",VLOOKUP($AZ35,参照データ!$B$24:$G$41,6,0),"")</f>
        <v/>
      </c>
      <c r="BE35" s="220" t="str">
        <f>IF($N35="○",VLOOKUP($AZ35,参照データ!$B$24:$H$41,7,0),"")</f>
        <v/>
      </c>
      <c r="BF35" s="221" t="str">
        <f>IF($O35="○",VLOOKUP($AZ35,参照データ!$B$24:$I$41,8,0),"")</f>
        <v/>
      </c>
      <c r="BG35" s="344" t="str">
        <f t="shared" si="18"/>
        <v/>
      </c>
      <c r="BH35" s="242" t="str">
        <f>IF($Q35="入門",VLOOKUP($AZ35,参照データ!$B$46:$U$63,3,0),IF($Q35="初級",VLOOKUP($AZ35,参照データ!$B$46:$U$63,4,0),IF($Q35="中級",VLOOKUP($AZ35,参照データ!$B$46:$U$63,5,0),IF($Q35="上級",VLOOKUP($AZ35,参照データ!$B$46:$U$63,6,0),""))))</f>
        <v/>
      </c>
      <c r="BI35" s="242" t="str">
        <f>IF($R35="初級",VLOOKUP($AZ35,参照データ!$B$46:$U$63,7,0),IF($R35="中級",VLOOKUP($AZ35,参照データ!$B$46:$U$63,8,0),IF($R35="上級",VLOOKUP($AZ35,参照データ!$B$46:$U$63,9,0),"")))</f>
        <v/>
      </c>
      <c r="BJ35" s="242" t="str">
        <f>IF($S35="初級",VLOOKUP($AZ35,参照データ!$B$46:$U$63,10,0),IF($S35="上級",VLOOKUP($AZ35,参照データ!$B$46:$U$63,11,0),""))</f>
        <v/>
      </c>
      <c r="BK35" s="242" t="str">
        <f>IF($T35="初級",VLOOKUP($AZ35,参照データ!$B$46:$U$63,15,0),IF($T35="中級",VLOOKUP($AZ35,参照データ!$B$46:$U$63,16,0),IF($T35="上級",VLOOKUP($AZ35,参照データ!$B$46:$U$63,17,0),"")))</f>
        <v/>
      </c>
      <c r="BL35" s="242" t="str">
        <f>IF($U35="初級",VLOOKUP($AZ35,参照データ!$B$46:$U$63,12,0),IF($U35="中級",VLOOKUP($AZ35,参照データ!$B$46:$U$63,13,0),IF($U35="上級",VLOOKUP($AZ35,参照データ!$B$46:$U$63,14,0),"")))</f>
        <v/>
      </c>
      <c r="BM35" s="21" t="str">
        <f t="shared" si="19"/>
        <v/>
      </c>
      <c r="BN35" s="21" t="str">
        <f>IF($V35="初級",VLOOKUP($AZ35,参照データ!$B$46:$U$63,18,0),IF($V35="中級",VLOOKUP($AZ35,参照データ!$B$46:$U$63,19,0),IF($V35="上級",VLOOKUP($AZ35,参照データ!$B$46:$U$63,20,0),"")))</f>
        <v/>
      </c>
      <c r="BO35" s="604">
        <v>12</v>
      </c>
      <c r="BP35" s="255" t="s">
        <v>262</v>
      </c>
      <c r="BQ35" s="251" t="str">
        <f t="shared" si="20"/>
        <v/>
      </c>
      <c r="BR35" s="594" t="str">
        <f>IF(OR($BQ35="",$BQ36=""),"",IF($BQ35&gt;$BQ36,$BQ35,$BQ36))</f>
        <v/>
      </c>
      <c r="BT35" s="241" t="e">
        <f t="shared" si="3"/>
        <v>#VALUE!</v>
      </c>
      <c r="BU35" s="245" t="str">
        <f>IF($X35="○",VLOOKUP($BT35,参照データ!$D$89:$F$100,3,0),"")</f>
        <v/>
      </c>
      <c r="BV35" s="246" t="str">
        <f t="shared" si="4"/>
        <v/>
      </c>
      <c r="BW35" s="245" t="str">
        <f>IF($Z35="○",VLOOKUP($BT35,参照データ!$D$89:$J$100,7,0),"")</f>
        <v/>
      </c>
      <c r="BX35" s="246" t="str">
        <f t="shared" si="5"/>
        <v/>
      </c>
      <c r="BY35" s="245" t="str">
        <f>IF($AB35="○",VLOOKUP($BT35,参照データ!$D$89:$N$100,11,0),"")</f>
        <v/>
      </c>
      <c r="BZ35" s="246" t="str">
        <f t="shared" si="6"/>
        <v/>
      </c>
      <c r="CA35" s="245" t="str">
        <f>IF($AD35="○",VLOOKUP($BT35,参照データ!$D$89:$T$100,17,0),"")</f>
        <v/>
      </c>
      <c r="CB35" s="246" t="str">
        <f t="shared" si="21"/>
        <v/>
      </c>
      <c r="CC35" s="245" t="str">
        <f>IF($AF35="○",VLOOKUP($BT35,参照データ!$D$89:$T$100,16,0),"")</f>
        <v/>
      </c>
      <c r="CD35" s="246" t="str">
        <f t="shared" si="22"/>
        <v/>
      </c>
      <c r="CE35" s="25">
        <f t="shared" si="23"/>
        <v>0</v>
      </c>
      <c r="CF35" s="312" t="e">
        <f t="shared" si="7"/>
        <v>#N/A</v>
      </c>
      <c r="CG35" s="300" t="str">
        <f t="shared" si="24"/>
        <v/>
      </c>
      <c r="CH35" s="648">
        <v>12</v>
      </c>
      <c r="CI35" s="256" t="s">
        <v>117</v>
      </c>
      <c r="CJ35" s="257" t="e">
        <f t="shared" si="8"/>
        <v>#N/A</v>
      </c>
      <c r="CK35" s="257" t="e">
        <f>VLOOKUP(CJ35,参照データ!$D$89:$R$100,15,0)</f>
        <v>#N/A</v>
      </c>
      <c r="CL35" s="649" t="e">
        <f>IF(OR($CJ35="",$CJ36=""),"",IF($CJ35&gt;$CJ36,$CK35,$CK36))</f>
        <v>#N/A</v>
      </c>
      <c r="CM35" s="289" t="e">
        <f>INDEX(参照データ!$Q$89:$Q$100,MATCH($CL35,参照データ!$R$89:$R$100,0))</f>
        <v>#N/A</v>
      </c>
      <c r="CN35" s="290" t="str">
        <f>IF($AJ35="○",VLOOKUP($BT35,参照データ!$D$89:$V$100,19,0),"")</f>
        <v/>
      </c>
      <c r="CO35" s="246" t="str">
        <f t="shared" si="25"/>
        <v/>
      </c>
      <c r="CQ35" t="e">
        <f>IF(AND($AW35&gt;=参照データ!$C$132,$AW35&lt;=参照データ!$C$130),1,IF(AND($AW35&gt;=参照データ!$C$135,$AW35&lt;=参照データ!$C$133),2,IF(AND($AW35&gt;=参照データ!$C$138,$AW35&lt;=参照データ!$C$136),3,IF($AW35&lt;=参照データ!$C$139,4,0))))</f>
        <v>#VALUE!</v>
      </c>
      <c r="CR35" t="e">
        <f>IF($AV35="男子",VLOOKUP(CQ35,参照データ!$C$143:$D$150,2),CQ35)</f>
        <v>#VALUE!</v>
      </c>
      <c r="CS35" s="388" t="e">
        <f t="shared" si="26"/>
        <v>#VALUE!</v>
      </c>
      <c r="CT35" s="389" t="str">
        <f>IF($AM35="○",VLOOKUP($CS35,参照データ!$D$143:$F$150,3,0),"")</f>
        <v/>
      </c>
      <c r="CU35" s="390" t="str">
        <f t="shared" si="52"/>
        <v/>
      </c>
      <c r="CV35">
        <f t="shared" si="39"/>
        <v>0</v>
      </c>
      <c r="CW35" s="312" t="e">
        <f t="shared" si="9"/>
        <v>#N/A</v>
      </c>
      <c r="CX35" s="391" t="str">
        <f t="shared" si="28"/>
        <v/>
      </c>
      <c r="CY35" s="724">
        <v>12</v>
      </c>
      <c r="CZ35" s="398" t="s">
        <v>117</v>
      </c>
      <c r="DA35" s="399" t="e">
        <f t="shared" si="40"/>
        <v>#N/A</v>
      </c>
      <c r="DB35" s="399" t="e">
        <f>VLOOKUP(DA35,参照データ!$D$143:$J$150,7,0)</f>
        <v>#N/A</v>
      </c>
      <c r="DC35" s="725" t="e">
        <f t="shared" ref="DC35" si="62">IF(OR($DA35="",$DA36=""),"",IF($DA35&gt;$DA36,$DB35,$DB36))</f>
        <v>#N/A</v>
      </c>
      <c r="DD35" s="400" t="e">
        <f>INDEX(参照データ!$I$143:$I$150,MATCH($DC35,参照データ!$J$143:$J$150,0))</f>
        <v>#N/A</v>
      </c>
      <c r="DF35" s="254">
        <f>(COUNTIF($J35:$O35,"&lt;&gt;"))*参照データ!$D$3</f>
        <v>0</v>
      </c>
      <c r="DG35" s="297">
        <f t="shared" si="29"/>
        <v>0</v>
      </c>
      <c r="DH35" s="157" cm="1">
        <f t="array" ref="DH35">(SUM(COUNTIF($Q35:$U35,{"入門","初級"}))*3000)+(SUM(COUNTIF($Q35:$U35,{"中級","上級"})*3500))</f>
        <v>0</v>
      </c>
      <c r="DI35" s="157">
        <f>IFERROR(VLOOKUP(V35,参照データ!$G$3:$I$6,3,0),0)</f>
        <v>0</v>
      </c>
      <c r="DJ35" s="469">
        <f t="shared" si="30"/>
        <v>0</v>
      </c>
      <c r="DK35" s="157">
        <f t="shared" si="31"/>
        <v>0</v>
      </c>
      <c r="DL35" s="157">
        <f t="shared" si="32"/>
        <v>0</v>
      </c>
      <c r="DM35" s="157">
        <f>(COUNTIF($AM35,"○"))*参照データ!$H$13</f>
        <v>0</v>
      </c>
      <c r="DN35" s="157">
        <f>(IF($AO35&gt;0,参照データ!$I$14,0))</f>
        <v>0</v>
      </c>
      <c r="DO35" s="249">
        <f t="array" ref="DO35">SUM(IF(ISERROR($DF35:$DN35),0,($DF35:$DN35)))</f>
        <v>0</v>
      </c>
      <c r="DP35" s="157"/>
      <c r="DQ35" s="157">
        <f t="shared" si="33"/>
        <v>0</v>
      </c>
      <c r="DR35" s="157">
        <f t="shared" si="34"/>
        <v>0</v>
      </c>
      <c r="DS35" s="157">
        <f t="shared" si="35"/>
        <v>0</v>
      </c>
      <c r="DT35" s="157">
        <f t="shared" si="36"/>
        <v>0</v>
      </c>
      <c r="DU35" s="157">
        <f t="shared" si="37"/>
        <v>0</v>
      </c>
      <c r="DV35" t="str">
        <f t="shared" si="10"/>
        <v/>
      </c>
    </row>
    <row r="36" spans="1:126" ht="18.75" customHeight="1" x14ac:dyDescent="0.2">
      <c r="A36">
        <v>24</v>
      </c>
      <c r="B36" s="183" t="str">
        <f>IF(D36="","",IF(D36="重複","",COUNTIF(B$13:$B35,"&gt;0")+1))</f>
        <v/>
      </c>
      <c r="C36" s="264"/>
      <c r="D36" s="134"/>
      <c r="E36" s="134"/>
      <c r="F36" s="135"/>
      <c r="G36" s="136"/>
      <c r="H36" s="169">
        <f t="shared" si="11"/>
        <v>0</v>
      </c>
      <c r="I36" s="170" t="str">
        <f t="shared" si="12"/>
        <v/>
      </c>
      <c r="J36" s="138"/>
      <c r="K36" s="138"/>
      <c r="L36" s="138"/>
      <c r="M36" s="139"/>
      <c r="N36" s="146"/>
      <c r="O36" s="141"/>
      <c r="P36" s="336"/>
      <c r="Q36" s="142"/>
      <c r="R36" s="143"/>
      <c r="S36" s="143"/>
      <c r="T36" s="144"/>
      <c r="U36" s="143"/>
      <c r="V36" s="267"/>
      <c r="W36" s="145"/>
      <c r="X36" s="269"/>
      <c r="Y36" s="148" t="str">
        <f>IF($X36="○",VLOOKUP($AY36,参照データ!$D$89:$E$100,2),"")</f>
        <v/>
      </c>
      <c r="Z36" s="271"/>
      <c r="AA36" s="148" t="str">
        <f>IF($Z36="○",VLOOKUP($AY36,参照データ!$D$89:$J$100,6),"")</f>
        <v/>
      </c>
      <c r="AB36" s="271"/>
      <c r="AC36" s="148" t="str">
        <f>IF($AB36="○",VLOOKUP($AY36,参照データ!$D$89:$N$100,10),"")</f>
        <v/>
      </c>
      <c r="AD36" s="271"/>
      <c r="AE36" s="148" t="str">
        <f>IF($AD36="○",VLOOKUP($AY36,参照データ!$D$89:$Q$100,14),"")</f>
        <v/>
      </c>
      <c r="AF36" s="271"/>
      <c r="AG36" s="148" t="str">
        <f>IF($AF36="○",VLOOKUP($AY36,参照データ!$D$89:$Q$100,14),"")</f>
        <v/>
      </c>
      <c r="AH36" s="266"/>
      <c r="AI36" s="370" t="str">
        <f t="shared" si="38"/>
        <v/>
      </c>
      <c r="AJ36" s="498"/>
      <c r="AK36" s="497" t="str">
        <f>IF($AJ36="○",VLOOKUP($AY36,参照データ!$D$89:$U$100,18),"")</f>
        <v/>
      </c>
      <c r="AL36" s="170" t="str">
        <f t="shared" si="13"/>
        <v/>
      </c>
      <c r="AM36" s="269"/>
      <c r="AN36" s="413" t="str">
        <f>IF($AM36="○",VLOOKUP($CR36,参照データ!$D$143:$E$150,2),"")</f>
        <v/>
      </c>
      <c r="AO36" s="416"/>
      <c r="AP36" s="366" t="str">
        <f t="shared" si="14"/>
        <v/>
      </c>
      <c r="AQ36" s="465"/>
      <c r="AR36" s="466"/>
      <c r="AU36" s="273" t="str">
        <f t="shared" si="15"/>
        <v/>
      </c>
      <c r="AV36" s="274" t="str">
        <f t="shared" si="16"/>
        <v/>
      </c>
      <c r="AW36" s="226" t="e">
        <f t="shared" si="17"/>
        <v>#VALUE!</v>
      </c>
      <c r="AX36" t="e">
        <f>IF(AND(AW36&gt;=参照データ!$C$71,AW36&lt;=参照データ!$C$69),1,IF(AND(AW36&gt;=参照データ!$C$74,AW36&lt;=参照データ!$C$72),2,IF(AND(AW36&gt;=参照データ!$C$77,AW36&lt;=参照データ!$C$75),3,IF(AND(AW36&gt;=参照データ!$C$80,AW36&lt;=参照データ!$C$78),4,IF(AND(AW36&gt;=参照データ!$C$83,AW36&lt;=参照データ!$C$81),5,IF(AW36&lt;=参照データ!$C$84,6,0))))))</f>
        <v>#VALUE!</v>
      </c>
      <c r="AY36" t="e">
        <f>IF(AV36="男子",VLOOKUP(AX36,参照データ!$C$95:$D$100,2),AX36)</f>
        <v>#VALUE!</v>
      </c>
      <c r="AZ36" s="241" t="str">
        <f t="shared" si="2"/>
        <v/>
      </c>
      <c r="BA36" s="219" t="str">
        <f>IF($J36="○",VLOOKUP($AZ36,参照データ!$B$24:$G$41,3,0),"")</f>
        <v/>
      </c>
      <c r="BB36" s="220" t="str">
        <f>IF($K36="○",VLOOKUP($AZ36,参照データ!$B$24:$G$41,4,0),"")</f>
        <v/>
      </c>
      <c r="BC36" s="220" t="str">
        <f>IF($L36="○",VLOOKUP($AZ36,参照データ!$B$24:$G$41,5,0),"")</f>
        <v/>
      </c>
      <c r="BD36" s="220" t="str">
        <f>IF($M36="○",VLOOKUP($AZ36,参照データ!$B$24:$G$41,6,0),"")</f>
        <v/>
      </c>
      <c r="BE36" s="220" t="str">
        <f>IF($N36="○",VLOOKUP($AZ36,参照データ!$B$24:$H$41,7,0),"")</f>
        <v/>
      </c>
      <c r="BF36" s="221" t="str">
        <f>IF($O36="○",VLOOKUP($AZ36,参照データ!$B$24:$I$41,8,0),"")</f>
        <v/>
      </c>
      <c r="BG36" s="344" t="str">
        <f t="shared" si="18"/>
        <v/>
      </c>
      <c r="BH36" s="242" t="str">
        <f>IF($Q36="入門",VLOOKUP($AZ36,参照データ!$B$46:$U$63,3,0),IF($Q36="初級",VLOOKUP($AZ36,参照データ!$B$46:$U$63,4,0),IF($Q36="中級",VLOOKUP($AZ36,参照データ!$B$46:$U$63,5,0),IF($Q36="上級",VLOOKUP($AZ36,参照データ!$B$46:$U$63,6,0),""))))</f>
        <v/>
      </c>
      <c r="BI36" s="242" t="str">
        <f>IF($R36="初級",VLOOKUP($AZ36,参照データ!$B$46:$U$63,7,0),IF($R36="中級",VLOOKUP($AZ36,参照データ!$B$46:$U$63,8,0),IF($R36="上級",VLOOKUP($AZ36,参照データ!$B$46:$U$63,9,0),"")))</f>
        <v/>
      </c>
      <c r="BJ36" s="242" t="str">
        <f>IF($S36="初級",VLOOKUP($AZ36,参照データ!$B$46:$U$63,10,0),IF($S36="上級",VLOOKUP($AZ36,参照データ!$B$46:$U$63,11,0),""))</f>
        <v/>
      </c>
      <c r="BK36" s="242" t="str">
        <f>IF($T36="初級",VLOOKUP($AZ36,参照データ!$B$46:$U$63,15,0),IF($T36="中級",VLOOKUP($AZ36,参照データ!$B$46:$U$63,16,0),IF($T36="上級",VLOOKUP($AZ36,参照データ!$B$46:$U$63,17,0),"")))</f>
        <v/>
      </c>
      <c r="BL36" s="242" t="str">
        <f>IF($U36="初級",VLOOKUP($AZ36,参照データ!$B$46:$U$63,12,0),IF($U36="中級",VLOOKUP($AZ36,参照データ!$B$46:$U$63,13,0),IF($U36="上級",VLOOKUP($AZ36,参照データ!$B$46:$U$63,14,0),"")))</f>
        <v/>
      </c>
      <c r="BM36" s="21" t="str">
        <f t="shared" si="19"/>
        <v/>
      </c>
      <c r="BN36" s="21" t="str">
        <f>IF($V36="初級",VLOOKUP($AZ36,参照データ!$B$46:$U$63,18,0),IF($V36="中級",VLOOKUP($AZ36,参照データ!$B$46:$U$63,19,0),IF($V36="上級",VLOOKUP($AZ36,参照データ!$B$46:$U$63,20,0),"")))</f>
        <v/>
      </c>
      <c r="BO36" s="587"/>
      <c r="BP36" s="250" t="s">
        <v>263</v>
      </c>
      <c r="BQ36" s="251" t="str">
        <f t="shared" si="20"/>
        <v/>
      </c>
      <c r="BR36" s="595"/>
      <c r="BT36" s="241" t="e">
        <f t="shared" si="3"/>
        <v>#VALUE!</v>
      </c>
      <c r="BU36" s="245" t="str">
        <f>IF($X36="○",VLOOKUP($BT36,参照データ!$D$89:$F$100,3,0),"")</f>
        <v/>
      </c>
      <c r="BV36" s="246" t="str">
        <f t="shared" si="4"/>
        <v/>
      </c>
      <c r="BW36" s="245" t="str">
        <f>IF($Z36="○",VLOOKUP($BT36,参照データ!$D$89:$J$100,7,0),"")</f>
        <v/>
      </c>
      <c r="BX36" s="246" t="str">
        <f t="shared" si="5"/>
        <v/>
      </c>
      <c r="BY36" s="245" t="str">
        <f>IF($AB36="○",VLOOKUP($BT36,参照データ!$D$89:$N$100,11,0),"")</f>
        <v/>
      </c>
      <c r="BZ36" s="246" t="str">
        <f t="shared" si="6"/>
        <v/>
      </c>
      <c r="CA36" s="245" t="str">
        <f>IF($AD36="○",VLOOKUP($BT36,参照データ!$D$89:$T$100,17,0),"")</f>
        <v/>
      </c>
      <c r="CB36" s="246" t="str">
        <f t="shared" si="21"/>
        <v/>
      </c>
      <c r="CC36" s="245" t="str">
        <f>IF($AF36="○",VLOOKUP($BT36,参照データ!$D$89:$T$100,16,0),"")</f>
        <v/>
      </c>
      <c r="CD36" s="246" t="str">
        <f t="shared" si="22"/>
        <v/>
      </c>
      <c r="CE36" s="25">
        <f t="shared" si="23"/>
        <v>0</v>
      </c>
      <c r="CF36" s="312" t="e">
        <f t="shared" si="7"/>
        <v>#N/A</v>
      </c>
      <c r="CG36" s="300" t="str">
        <f t="shared" si="24"/>
        <v/>
      </c>
      <c r="CH36" s="645"/>
      <c r="CI36" s="252" t="s">
        <v>118</v>
      </c>
      <c r="CJ36" s="253" t="e">
        <f t="shared" si="8"/>
        <v>#N/A</v>
      </c>
      <c r="CK36" s="253" t="e">
        <f>VLOOKUP(CJ36,参照データ!$D$89:$R$100,15,0)</f>
        <v>#N/A</v>
      </c>
      <c r="CL36" s="647"/>
      <c r="CM36" s="288" t="e">
        <f>CM35</f>
        <v>#N/A</v>
      </c>
      <c r="CN36" s="290" t="str">
        <f>IF($AJ36="○",VLOOKUP($BT36,参照データ!$D$89:$V$100,19,0),"")</f>
        <v/>
      </c>
      <c r="CO36" s="246" t="str">
        <f t="shared" si="25"/>
        <v/>
      </c>
      <c r="CQ36" t="e">
        <f>IF(AND($AW36&gt;=参照データ!$C$132,$AW36&lt;=参照データ!$C$130),1,IF(AND($AW36&gt;=参照データ!$C$135,$AW36&lt;=参照データ!$C$133),2,IF(AND($AW36&gt;=参照データ!$C$138,$AW36&lt;=参照データ!$C$136),3,IF($AW36&lt;=参照データ!$C$139,4,0))))</f>
        <v>#VALUE!</v>
      </c>
      <c r="CR36" t="e">
        <f>IF($AV36="男子",VLOOKUP(CQ36,参照データ!$C$143:$D$150,2),CQ36)</f>
        <v>#VALUE!</v>
      </c>
      <c r="CS36" s="388" t="e">
        <f t="shared" si="26"/>
        <v>#VALUE!</v>
      </c>
      <c r="CT36" s="389" t="str">
        <f>IF($AM36="○",VLOOKUP($CS36,参照データ!$D$143:$F$150,3,0),"")</f>
        <v/>
      </c>
      <c r="CU36" s="390" t="str">
        <f t="shared" si="52"/>
        <v/>
      </c>
      <c r="CV36">
        <f t="shared" si="39"/>
        <v>0</v>
      </c>
      <c r="CW36" s="312" t="e">
        <f t="shared" si="9"/>
        <v>#N/A</v>
      </c>
      <c r="CX36" s="391" t="str">
        <f t="shared" si="28"/>
        <v/>
      </c>
      <c r="CY36" s="721"/>
      <c r="CZ36" s="395" t="s">
        <v>118</v>
      </c>
      <c r="DA36" s="396" t="e">
        <f t="shared" si="40"/>
        <v>#N/A</v>
      </c>
      <c r="DB36" s="396" t="e">
        <f>VLOOKUP(DA36,参照データ!$D$143:$J$150,7,0)</f>
        <v>#N/A</v>
      </c>
      <c r="DC36" s="723"/>
      <c r="DD36" s="397" t="e">
        <f t="shared" ref="DD36" si="63">DD35</f>
        <v>#N/A</v>
      </c>
      <c r="DF36" s="254">
        <f>(COUNTIF($J36:$O36,"&lt;&gt;"))*参照データ!$D$3</f>
        <v>0</v>
      </c>
      <c r="DG36" s="297">
        <f t="shared" si="29"/>
        <v>0</v>
      </c>
      <c r="DH36" s="157" cm="1">
        <f t="array" ref="DH36">(SUM(COUNTIF($Q36:$U36,{"入門","初級"}))*3000)+(SUM(COUNTIF($Q36:$U36,{"中級","上級"})*3500))</f>
        <v>0</v>
      </c>
      <c r="DI36" s="157">
        <f>IFERROR(VLOOKUP(V36,参照データ!$G$3:$I$6,3,0),0)</f>
        <v>0</v>
      </c>
      <c r="DJ36" s="469">
        <f t="shared" si="30"/>
        <v>0</v>
      </c>
      <c r="DK36" s="157">
        <f t="shared" si="31"/>
        <v>0</v>
      </c>
      <c r="DL36" s="157">
        <f t="shared" si="32"/>
        <v>0</v>
      </c>
      <c r="DM36" s="157">
        <f>(COUNTIF($AM36,"○"))*参照データ!$H$13</f>
        <v>0</v>
      </c>
      <c r="DN36" s="157">
        <f>(IF($AO36&gt;0,参照データ!$I$14,0))</f>
        <v>0</v>
      </c>
      <c r="DO36" s="249">
        <f t="array" ref="DO36">SUM(IF(ISERROR($DF36:$DN36),0,($DF36:$DN36)))</f>
        <v>0</v>
      </c>
      <c r="DP36" s="157"/>
      <c r="DQ36" s="157">
        <f t="shared" si="33"/>
        <v>0</v>
      </c>
      <c r="DR36" s="157">
        <f t="shared" si="34"/>
        <v>0</v>
      </c>
      <c r="DS36" s="157">
        <f t="shared" si="35"/>
        <v>0</v>
      </c>
      <c r="DT36" s="157">
        <f t="shared" si="36"/>
        <v>0</v>
      </c>
      <c r="DU36" s="157">
        <f t="shared" si="37"/>
        <v>0</v>
      </c>
      <c r="DV36" t="str">
        <f t="shared" si="10"/>
        <v/>
      </c>
    </row>
    <row r="37" spans="1:126" ht="18.75" customHeight="1" x14ac:dyDescent="0.2">
      <c r="A37">
        <v>25</v>
      </c>
      <c r="B37" s="183" t="str">
        <f>IF(D37="","",IF(D37="重複","",COUNTIF(B$13:$B36,"&gt;0")+1))</f>
        <v/>
      </c>
      <c r="C37" s="264"/>
      <c r="D37" s="134"/>
      <c r="E37" s="134"/>
      <c r="F37" s="135"/>
      <c r="G37" s="136"/>
      <c r="H37" s="169">
        <f t="shared" si="11"/>
        <v>0</v>
      </c>
      <c r="I37" s="170" t="str">
        <f t="shared" si="12"/>
        <v/>
      </c>
      <c r="J37" s="138"/>
      <c r="K37" s="138"/>
      <c r="L37" s="138"/>
      <c r="M37" s="139"/>
      <c r="N37" s="146"/>
      <c r="O37" s="141"/>
      <c r="P37" s="336"/>
      <c r="Q37" s="142"/>
      <c r="R37" s="143"/>
      <c r="S37" s="143"/>
      <c r="T37" s="144"/>
      <c r="U37" s="143"/>
      <c r="V37" s="267"/>
      <c r="W37" s="145"/>
      <c r="X37" s="269"/>
      <c r="Y37" s="148" t="str">
        <f>IF($X37="○",VLOOKUP($AY37,参照データ!$D$89:$E$100,2),"")</f>
        <v/>
      </c>
      <c r="Z37" s="271"/>
      <c r="AA37" s="148" t="str">
        <f>IF($Z37="○",VLOOKUP($AY37,参照データ!$D$89:$J$100,6),"")</f>
        <v/>
      </c>
      <c r="AB37" s="271"/>
      <c r="AC37" s="148" t="str">
        <f>IF($AB37="○",VLOOKUP($AY37,参照データ!$D$89:$N$100,10),"")</f>
        <v/>
      </c>
      <c r="AD37" s="271"/>
      <c r="AE37" s="148" t="str">
        <f>IF($AD37="○",VLOOKUP($AY37,参照データ!$D$89:$Q$100,14),"")</f>
        <v/>
      </c>
      <c r="AF37" s="271"/>
      <c r="AG37" s="148" t="str">
        <f>IF($AF37="○",VLOOKUP($AY37,参照データ!$D$89:$Q$100,14),"")</f>
        <v/>
      </c>
      <c r="AH37" s="266"/>
      <c r="AI37" s="370" t="str">
        <f t="shared" si="38"/>
        <v/>
      </c>
      <c r="AJ37" s="498"/>
      <c r="AK37" s="497" t="str">
        <f>IF($AJ37="○",VLOOKUP($AY37,参照データ!$D$89:$U$100,18),"")</f>
        <v/>
      </c>
      <c r="AL37" s="170" t="str">
        <f t="shared" si="13"/>
        <v/>
      </c>
      <c r="AM37" s="269"/>
      <c r="AN37" s="413" t="str">
        <f>IF($AM37="○",VLOOKUP($CR37,参照データ!$D$143:$E$150,2),"")</f>
        <v/>
      </c>
      <c r="AO37" s="416"/>
      <c r="AP37" s="366" t="str">
        <f t="shared" si="14"/>
        <v/>
      </c>
      <c r="AQ37" s="465"/>
      <c r="AR37" s="466"/>
      <c r="AU37" s="273" t="str">
        <f t="shared" si="15"/>
        <v/>
      </c>
      <c r="AV37" s="274" t="str">
        <f t="shared" si="16"/>
        <v/>
      </c>
      <c r="AW37" s="226" t="e">
        <f t="shared" si="17"/>
        <v>#VALUE!</v>
      </c>
      <c r="AX37" t="e">
        <f>IF(AND(AW37&gt;=参照データ!$C$71,AW37&lt;=参照データ!$C$69),1,IF(AND(AW37&gt;=参照データ!$C$74,AW37&lt;=参照データ!$C$72),2,IF(AND(AW37&gt;=参照データ!$C$77,AW37&lt;=参照データ!$C$75),3,IF(AND(AW37&gt;=参照データ!$C$80,AW37&lt;=参照データ!$C$78),4,IF(AND(AW37&gt;=参照データ!$C$83,AW37&lt;=参照データ!$C$81),5,IF(AW37&lt;=参照データ!$C$84,6,0))))))</f>
        <v>#VALUE!</v>
      </c>
      <c r="AY37" t="e">
        <f>IF(AV37="男子",VLOOKUP(AX37,参照データ!$C$95:$D$100,2),AX37)</f>
        <v>#VALUE!</v>
      </c>
      <c r="AZ37" s="241" t="str">
        <f t="shared" si="2"/>
        <v/>
      </c>
      <c r="BA37" s="219" t="str">
        <f>IF($J37="○",VLOOKUP($AZ37,参照データ!$B$24:$G$41,3,0),"")</f>
        <v/>
      </c>
      <c r="BB37" s="220" t="str">
        <f>IF($K37="○",VLOOKUP($AZ37,参照データ!$B$24:$G$41,4,0),"")</f>
        <v/>
      </c>
      <c r="BC37" s="220" t="str">
        <f>IF($L37="○",VLOOKUP($AZ37,参照データ!$B$24:$G$41,5,0),"")</f>
        <v/>
      </c>
      <c r="BD37" s="220" t="str">
        <f>IF($M37="○",VLOOKUP($AZ37,参照データ!$B$24:$G$41,6,0),"")</f>
        <v/>
      </c>
      <c r="BE37" s="220" t="str">
        <f>IF($N37="○",VLOOKUP($AZ37,参照データ!$B$24:$H$41,7,0),"")</f>
        <v/>
      </c>
      <c r="BF37" s="221" t="str">
        <f>IF($O37="○",VLOOKUP($AZ37,参照データ!$B$24:$I$41,8,0),"")</f>
        <v/>
      </c>
      <c r="BG37" s="344" t="str">
        <f t="shared" si="18"/>
        <v/>
      </c>
      <c r="BH37" s="242" t="str">
        <f>IF($Q37="入門",VLOOKUP($AZ37,参照データ!$B$46:$U$63,3,0),IF($Q37="初級",VLOOKUP($AZ37,参照データ!$B$46:$U$63,4,0),IF($Q37="中級",VLOOKUP($AZ37,参照データ!$B$46:$U$63,5,0),IF($Q37="上級",VLOOKUP($AZ37,参照データ!$B$46:$U$63,6,0),""))))</f>
        <v/>
      </c>
      <c r="BI37" s="242" t="str">
        <f>IF($R37="初級",VLOOKUP($AZ37,参照データ!$B$46:$U$63,7,0),IF($R37="中級",VLOOKUP($AZ37,参照データ!$B$46:$U$63,8,0),IF($R37="上級",VLOOKUP($AZ37,参照データ!$B$46:$U$63,9,0),"")))</f>
        <v/>
      </c>
      <c r="BJ37" s="242" t="str">
        <f>IF($S37="初級",VLOOKUP($AZ37,参照データ!$B$46:$U$63,10,0),IF($S37="上級",VLOOKUP($AZ37,参照データ!$B$46:$U$63,11,0),""))</f>
        <v/>
      </c>
      <c r="BK37" s="242" t="str">
        <f>IF($T37="初級",VLOOKUP($AZ37,参照データ!$B$46:$U$63,15,0),IF($T37="中級",VLOOKUP($AZ37,参照データ!$B$46:$U$63,16,0),IF($T37="上級",VLOOKUP($AZ37,参照データ!$B$46:$U$63,17,0),"")))</f>
        <v/>
      </c>
      <c r="BL37" s="242" t="str">
        <f>IF($U37="初級",VLOOKUP($AZ37,参照データ!$B$46:$U$63,12,0),IF($U37="中級",VLOOKUP($AZ37,参照データ!$B$46:$U$63,13,0),IF($U37="上級",VLOOKUP($AZ37,参照データ!$B$46:$U$63,14,0),"")))</f>
        <v/>
      </c>
      <c r="BM37" s="21" t="str">
        <f t="shared" si="19"/>
        <v/>
      </c>
      <c r="BN37" s="21" t="str">
        <f>IF($V37="初級",VLOOKUP($AZ37,参照データ!$B$46:$U$63,18,0),IF($V37="中級",VLOOKUP($AZ37,参照データ!$B$46:$U$63,19,0),IF($V37="上級",VLOOKUP($AZ37,参照データ!$B$46:$U$63,20,0),"")))</f>
        <v/>
      </c>
      <c r="BO37" s="604">
        <v>13</v>
      </c>
      <c r="BP37" s="255" t="s">
        <v>264</v>
      </c>
      <c r="BQ37" s="251" t="str">
        <f t="shared" si="20"/>
        <v/>
      </c>
      <c r="BR37" s="594" t="str">
        <f>IF(OR($BQ37="",$BQ38=""),"",IF($BQ37&gt;$BQ38,$BQ37,$BQ38))</f>
        <v/>
      </c>
      <c r="BT37" s="241" t="e">
        <f t="shared" si="3"/>
        <v>#VALUE!</v>
      </c>
      <c r="BU37" s="245" t="str">
        <f>IF($X37="○",VLOOKUP($BT37,参照データ!$D$89:$F$100,3,0),"")</f>
        <v/>
      </c>
      <c r="BV37" s="246" t="str">
        <f t="shared" si="4"/>
        <v/>
      </c>
      <c r="BW37" s="245" t="str">
        <f>IF($Z37="○",VLOOKUP($BT37,参照データ!$D$89:$J$100,7,0),"")</f>
        <v/>
      </c>
      <c r="BX37" s="246" t="str">
        <f t="shared" si="5"/>
        <v/>
      </c>
      <c r="BY37" s="245" t="str">
        <f>IF($AB37="○",VLOOKUP($BT37,参照データ!$D$89:$N$100,11,0),"")</f>
        <v/>
      </c>
      <c r="BZ37" s="246" t="str">
        <f t="shared" si="6"/>
        <v/>
      </c>
      <c r="CA37" s="245" t="str">
        <f>IF($AD37="○",VLOOKUP($BT37,参照データ!$D$89:$T$100,17,0),"")</f>
        <v/>
      </c>
      <c r="CB37" s="246" t="str">
        <f t="shared" si="21"/>
        <v/>
      </c>
      <c r="CC37" s="245" t="str">
        <f>IF($AF37="○",VLOOKUP($BT37,参照データ!$D$89:$T$100,16,0),"")</f>
        <v/>
      </c>
      <c r="CD37" s="246" t="str">
        <f t="shared" si="22"/>
        <v/>
      </c>
      <c r="CE37" s="25">
        <f t="shared" si="23"/>
        <v>0</v>
      </c>
      <c r="CF37" s="312" t="e">
        <f t="shared" si="7"/>
        <v>#N/A</v>
      </c>
      <c r="CG37" s="300" t="str">
        <f t="shared" si="24"/>
        <v/>
      </c>
      <c r="CH37" s="648">
        <v>13</v>
      </c>
      <c r="CI37" s="256" t="s">
        <v>119</v>
      </c>
      <c r="CJ37" s="257" t="e">
        <f t="shared" si="8"/>
        <v>#N/A</v>
      </c>
      <c r="CK37" s="257" t="e">
        <f>VLOOKUP(CJ37,参照データ!$D$89:$R$100,15,0)</f>
        <v>#N/A</v>
      </c>
      <c r="CL37" s="649" t="e">
        <f>IF(OR($CJ37="",$CJ38=""),"",IF($CJ37&gt;$CJ38,$CK37,$CK38))</f>
        <v>#N/A</v>
      </c>
      <c r="CM37" s="289" t="e">
        <f>INDEX(参照データ!$Q$89:$Q$100,MATCH($CL37,参照データ!$R$89:$R$100,0))</f>
        <v>#N/A</v>
      </c>
      <c r="CN37" s="290" t="str">
        <f>IF($AJ37="○",VLOOKUP($BT37,参照データ!$D$89:$V$100,19,0),"")</f>
        <v/>
      </c>
      <c r="CO37" s="246" t="str">
        <f t="shared" si="25"/>
        <v/>
      </c>
      <c r="CQ37" t="e">
        <f>IF(AND($AW37&gt;=参照データ!$C$132,$AW37&lt;=参照データ!$C$130),1,IF(AND($AW37&gt;=参照データ!$C$135,$AW37&lt;=参照データ!$C$133),2,IF(AND($AW37&gt;=参照データ!$C$138,$AW37&lt;=参照データ!$C$136),3,IF($AW37&lt;=参照データ!$C$139,4,0))))</f>
        <v>#VALUE!</v>
      </c>
      <c r="CR37" t="e">
        <f>IF($AV37="男子",VLOOKUP(CQ37,参照データ!$C$143:$D$150,2),CQ37)</f>
        <v>#VALUE!</v>
      </c>
      <c r="CS37" s="388" t="e">
        <f t="shared" si="26"/>
        <v>#VALUE!</v>
      </c>
      <c r="CT37" s="389" t="str">
        <f>IF($AM37="○",VLOOKUP($CS37,参照データ!$D$143:$F$150,3,0),"")</f>
        <v/>
      </c>
      <c r="CU37" s="390" t="str">
        <f t="shared" si="52"/>
        <v/>
      </c>
      <c r="CV37">
        <f t="shared" si="39"/>
        <v>0</v>
      </c>
      <c r="CW37" s="312" t="e">
        <f t="shared" si="9"/>
        <v>#N/A</v>
      </c>
      <c r="CX37" s="391" t="str">
        <f t="shared" si="28"/>
        <v/>
      </c>
      <c r="CY37" s="724">
        <v>13</v>
      </c>
      <c r="CZ37" s="398" t="s">
        <v>119</v>
      </c>
      <c r="DA37" s="399" t="e">
        <f t="shared" si="40"/>
        <v>#N/A</v>
      </c>
      <c r="DB37" s="399" t="e">
        <f>VLOOKUP(DA37,参照データ!$D$143:$J$150,7,0)</f>
        <v>#N/A</v>
      </c>
      <c r="DC37" s="725" t="e">
        <f t="shared" ref="DC37" si="64">IF(OR($DA37="",$DA38=""),"",IF($DA37&gt;$DA38,$DB37,$DB38))</f>
        <v>#N/A</v>
      </c>
      <c r="DD37" s="400" t="e">
        <f>INDEX(参照データ!$I$143:$I$150,MATCH($DC37,参照データ!$J$143:$J$150,0))</f>
        <v>#N/A</v>
      </c>
      <c r="DF37" s="254">
        <f>(COUNTIF($J37:$O37,"&lt;&gt;"))*参照データ!$D$3</f>
        <v>0</v>
      </c>
      <c r="DG37" s="297">
        <f t="shared" si="29"/>
        <v>0</v>
      </c>
      <c r="DH37" s="157" cm="1">
        <f t="array" ref="DH37">(SUM(COUNTIF($Q37:$U37,{"入門","初級"}))*3000)+(SUM(COUNTIF($Q37:$U37,{"中級","上級"})*3500))</f>
        <v>0</v>
      </c>
      <c r="DI37" s="157">
        <f>IFERROR(VLOOKUP(V37,参照データ!$G$3:$I$6,3,0),0)</f>
        <v>0</v>
      </c>
      <c r="DJ37" s="469">
        <f t="shared" si="30"/>
        <v>0</v>
      </c>
      <c r="DK37" s="157">
        <f t="shared" si="31"/>
        <v>0</v>
      </c>
      <c r="DL37" s="157">
        <f t="shared" si="32"/>
        <v>0</v>
      </c>
      <c r="DM37" s="157">
        <f>(COUNTIF($AM37,"○"))*参照データ!$H$13</f>
        <v>0</v>
      </c>
      <c r="DN37" s="157">
        <f>(IF($AO37&gt;0,参照データ!$I$14,0))</f>
        <v>0</v>
      </c>
      <c r="DO37" s="249">
        <f t="array" ref="DO37">SUM(IF(ISERROR($DF37:$DN37),0,($DF37:$DN37)))</f>
        <v>0</v>
      </c>
      <c r="DP37" s="157"/>
      <c r="DQ37" s="157">
        <f t="shared" si="33"/>
        <v>0</v>
      </c>
      <c r="DR37" s="157">
        <f t="shared" si="34"/>
        <v>0</v>
      </c>
      <c r="DS37" s="157">
        <f t="shared" si="35"/>
        <v>0</v>
      </c>
      <c r="DT37" s="157">
        <f t="shared" si="36"/>
        <v>0</v>
      </c>
      <c r="DU37" s="157">
        <f t="shared" si="37"/>
        <v>0</v>
      </c>
      <c r="DV37" t="str">
        <f t="shared" si="10"/>
        <v/>
      </c>
    </row>
    <row r="38" spans="1:126" ht="18.75" customHeight="1" x14ac:dyDescent="0.2">
      <c r="A38">
        <v>26</v>
      </c>
      <c r="B38" s="183" t="str">
        <f>IF(D38="","",IF(D38="重複","",COUNTIF(B$13:$B37,"&gt;0")+1))</f>
        <v/>
      </c>
      <c r="C38" s="264"/>
      <c r="D38" s="134"/>
      <c r="E38" s="134"/>
      <c r="F38" s="135"/>
      <c r="G38" s="137"/>
      <c r="H38" s="169">
        <f t="shared" si="11"/>
        <v>0</v>
      </c>
      <c r="I38" s="170" t="str">
        <f t="shared" si="12"/>
        <v/>
      </c>
      <c r="J38" s="138"/>
      <c r="K38" s="138"/>
      <c r="L38" s="138"/>
      <c r="M38" s="139"/>
      <c r="N38" s="146"/>
      <c r="O38" s="141"/>
      <c r="P38" s="336"/>
      <c r="Q38" s="142"/>
      <c r="R38" s="143"/>
      <c r="S38" s="143"/>
      <c r="T38" s="144"/>
      <c r="U38" s="143"/>
      <c r="V38" s="267"/>
      <c r="W38" s="145"/>
      <c r="X38" s="269"/>
      <c r="Y38" s="148" t="str">
        <f>IF($X38="○",VLOOKUP($AY38,参照データ!$D$89:$E$100,2),"")</f>
        <v/>
      </c>
      <c r="Z38" s="271"/>
      <c r="AA38" s="148" t="str">
        <f>IF($Z38="○",VLOOKUP($AY38,参照データ!$D$89:$J$100,6),"")</f>
        <v/>
      </c>
      <c r="AB38" s="271"/>
      <c r="AC38" s="148" t="str">
        <f>IF($AB38="○",VLOOKUP($AY38,参照データ!$D$89:$N$100,10),"")</f>
        <v/>
      </c>
      <c r="AD38" s="271"/>
      <c r="AE38" s="148" t="str">
        <f>IF($AD38="○",VLOOKUP($AY38,参照データ!$D$89:$Q$100,14),"")</f>
        <v/>
      </c>
      <c r="AF38" s="271"/>
      <c r="AG38" s="148" t="str">
        <f>IF($AF38="○",VLOOKUP($AY38,参照データ!$D$89:$Q$100,14),"")</f>
        <v/>
      </c>
      <c r="AH38" s="266"/>
      <c r="AI38" s="370" t="str">
        <f t="shared" si="38"/>
        <v/>
      </c>
      <c r="AJ38" s="498"/>
      <c r="AK38" s="497" t="str">
        <f>IF($AJ38="○",VLOOKUP($AY38,参照データ!$D$89:$U$100,18),"")</f>
        <v/>
      </c>
      <c r="AL38" s="170" t="str">
        <f t="shared" si="13"/>
        <v/>
      </c>
      <c r="AM38" s="269"/>
      <c r="AN38" s="413" t="str">
        <f>IF($AM38="○",VLOOKUP($CR38,参照データ!$D$143:$E$150,2),"")</f>
        <v/>
      </c>
      <c r="AO38" s="416"/>
      <c r="AP38" s="366" t="str">
        <f t="shared" si="14"/>
        <v/>
      </c>
      <c r="AQ38" s="465"/>
      <c r="AR38" s="466"/>
      <c r="AU38" s="273" t="str">
        <f t="shared" si="15"/>
        <v/>
      </c>
      <c r="AV38" s="274" t="str">
        <f t="shared" si="16"/>
        <v/>
      </c>
      <c r="AW38" s="226" t="e">
        <f t="shared" si="17"/>
        <v>#VALUE!</v>
      </c>
      <c r="AX38" t="e">
        <f>IF(AND(AW38&gt;=参照データ!$C$71,AW38&lt;=参照データ!$C$69),1,IF(AND(AW38&gt;=参照データ!$C$74,AW38&lt;=参照データ!$C$72),2,IF(AND(AW38&gt;=参照データ!$C$77,AW38&lt;=参照データ!$C$75),3,IF(AND(AW38&gt;=参照データ!$C$80,AW38&lt;=参照データ!$C$78),4,IF(AND(AW38&gt;=参照データ!$C$83,AW38&lt;=参照データ!$C$81),5,IF(AW38&lt;=参照データ!$C$84,6,0))))))</f>
        <v>#VALUE!</v>
      </c>
      <c r="AY38" t="e">
        <f>IF(AV38="男子",VLOOKUP(AX38,参照データ!$C$95:$D$100,2),AX38)</f>
        <v>#VALUE!</v>
      </c>
      <c r="AZ38" s="241" t="str">
        <f t="shared" si="2"/>
        <v/>
      </c>
      <c r="BA38" s="219" t="str">
        <f>IF($J38="○",VLOOKUP($AZ38,参照データ!$B$24:$G$41,3,0),"")</f>
        <v/>
      </c>
      <c r="BB38" s="220" t="str">
        <f>IF($K38="○",VLOOKUP($AZ38,参照データ!$B$24:$G$41,4,0),"")</f>
        <v/>
      </c>
      <c r="BC38" s="220" t="str">
        <f>IF($L38="○",VLOOKUP($AZ38,参照データ!$B$24:$G$41,5,0),"")</f>
        <v/>
      </c>
      <c r="BD38" s="220" t="str">
        <f>IF($M38="○",VLOOKUP($AZ38,参照データ!$B$24:$G$41,6,0),"")</f>
        <v/>
      </c>
      <c r="BE38" s="220" t="str">
        <f>IF($N38="○",VLOOKUP($AZ38,参照データ!$B$24:$H$41,7,0),"")</f>
        <v/>
      </c>
      <c r="BF38" s="221" t="str">
        <f>IF($O38="○",VLOOKUP($AZ38,参照データ!$B$24:$I$41,8,0),"")</f>
        <v/>
      </c>
      <c r="BG38" s="344" t="str">
        <f t="shared" si="18"/>
        <v/>
      </c>
      <c r="BH38" s="242" t="str">
        <f>IF($Q38="入門",VLOOKUP($AZ38,参照データ!$B$46:$U$63,3,0),IF($Q38="初級",VLOOKUP($AZ38,参照データ!$B$46:$U$63,4,0),IF($Q38="中級",VLOOKUP($AZ38,参照データ!$B$46:$U$63,5,0),IF($Q38="上級",VLOOKUP($AZ38,参照データ!$B$46:$U$63,6,0),""))))</f>
        <v/>
      </c>
      <c r="BI38" s="242" t="str">
        <f>IF($R38="初級",VLOOKUP($AZ38,参照データ!$B$46:$U$63,7,0),IF($R38="中級",VLOOKUP($AZ38,参照データ!$B$46:$U$63,8,0),IF($R38="上級",VLOOKUP($AZ38,参照データ!$B$46:$U$63,9,0),"")))</f>
        <v/>
      </c>
      <c r="BJ38" s="242" t="str">
        <f>IF($S38="初級",VLOOKUP($AZ38,参照データ!$B$46:$U$63,10,0),IF($S38="上級",VLOOKUP($AZ38,参照データ!$B$46:$U$63,11,0),""))</f>
        <v/>
      </c>
      <c r="BK38" s="242" t="str">
        <f>IF($T38="初級",VLOOKUP($AZ38,参照データ!$B$46:$U$63,15,0),IF($T38="中級",VLOOKUP($AZ38,参照データ!$B$46:$U$63,16,0),IF($T38="上級",VLOOKUP($AZ38,参照データ!$B$46:$U$63,17,0),"")))</f>
        <v/>
      </c>
      <c r="BL38" s="242" t="str">
        <f>IF($U38="初級",VLOOKUP($AZ38,参照データ!$B$46:$U$63,12,0),IF($U38="中級",VLOOKUP($AZ38,参照データ!$B$46:$U$63,13,0),IF($U38="上級",VLOOKUP($AZ38,参照データ!$B$46:$U$63,14,0),"")))</f>
        <v/>
      </c>
      <c r="BM38" s="21" t="str">
        <f t="shared" si="19"/>
        <v/>
      </c>
      <c r="BN38" s="21" t="str">
        <f>IF($V38="初級",VLOOKUP($AZ38,参照データ!$B$46:$U$63,18,0),IF($V38="中級",VLOOKUP($AZ38,参照データ!$B$46:$U$63,19,0),IF($V38="上級",VLOOKUP($AZ38,参照データ!$B$46:$U$63,20,0),"")))</f>
        <v/>
      </c>
      <c r="BO38" s="587"/>
      <c r="BP38" s="250" t="s">
        <v>265</v>
      </c>
      <c r="BQ38" s="251" t="str">
        <f t="shared" si="20"/>
        <v/>
      </c>
      <c r="BR38" s="595"/>
      <c r="BT38" s="241" t="e">
        <f t="shared" si="3"/>
        <v>#VALUE!</v>
      </c>
      <c r="BU38" s="245" t="str">
        <f>IF($X38="○",VLOOKUP($BT38,参照データ!$D$89:$F$100,3,0),"")</f>
        <v/>
      </c>
      <c r="BV38" s="246" t="str">
        <f t="shared" si="4"/>
        <v/>
      </c>
      <c r="BW38" s="245" t="str">
        <f>IF($Z38="○",VLOOKUP($BT38,参照データ!$D$89:$J$100,7,0),"")</f>
        <v/>
      </c>
      <c r="BX38" s="246" t="str">
        <f t="shared" si="5"/>
        <v/>
      </c>
      <c r="BY38" s="245" t="str">
        <f>IF($AB38="○",VLOOKUP($BT38,参照データ!$D$89:$N$100,11,0),"")</f>
        <v/>
      </c>
      <c r="BZ38" s="246" t="str">
        <f t="shared" si="6"/>
        <v/>
      </c>
      <c r="CA38" s="245" t="str">
        <f>IF($AD38="○",VLOOKUP($BT38,参照データ!$D$89:$T$100,17,0),"")</f>
        <v/>
      </c>
      <c r="CB38" s="246" t="str">
        <f t="shared" si="21"/>
        <v/>
      </c>
      <c r="CC38" s="245" t="str">
        <f>IF($AF38="○",VLOOKUP($BT38,参照データ!$D$89:$T$100,16,0),"")</f>
        <v/>
      </c>
      <c r="CD38" s="246" t="str">
        <f t="shared" si="22"/>
        <v/>
      </c>
      <c r="CE38" s="25">
        <f t="shared" si="23"/>
        <v>0</v>
      </c>
      <c r="CF38" s="312" t="e">
        <f t="shared" si="7"/>
        <v>#N/A</v>
      </c>
      <c r="CG38" s="300" t="str">
        <f t="shared" si="24"/>
        <v/>
      </c>
      <c r="CH38" s="645"/>
      <c r="CI38" s="252" t="s">
        <v>120</v>
      </c>
      <c r="CJ38" s="253" t="e">
        <f t="shared" si="8"/>
        <v>#N/A</v>
      </c>
      <c r="CK38" s="253" t="e">
        <f>VLOOKUP(CJ38,参照データ!$D$89:$R$100,15,0)</f>
        <v>#N/A</v>
      </c>
      <c r="CL38" s="647"/>
      <c r="CM38" s="288" t="e">
        <f>CM37</f>
        <v>#N/A</v>
      </c>
      <c r="CN38" s="290" t="str">
        <f>IF($AJ38="○",VLOOKUP($BT38,参照データ!$D$89:$V$100,19,0),"")</f>
        <v/>
      </c>
      <c r="CO38" s="246" t="str">
        <f t="shared" si="25"/>
        <v/>
      </c>
      <c r="CQ38" t="e">
        <f>IF(AND($AW38&gt;=参照データ!$C$132,$AW38&lt;=参照データ!$C$130),1,IF(AND($AW38&gt;=参照データ!$C$135,$AW38&lt;=参照データ!$C$133),2,IF(AND($AW38&gt;=参照データ!$C$138,$AW38&lt;=参照データ!$C$136),3,IF($AW38&lt;=参照データ!$C$139,4,0))))</f>
        <v>#VALUE!</v>
      </c>
      <c r="CR38" t="e">
        <f>IF($AV38="男子",VLOOKUP(CQ38,参照データ!$C$143:$D$150,2),CQ38)</f>
        <v>#VALUE!</v>
      </c>
      <c r="CS38" s="388" t="e">
        <f t="shared" si="26"/>
        <v>#VALUE!</v>
      </c>
      <c r="CT38" s="389" t="str">
        <f>IF($AM38="○",VLOOKUP($CS38,参照データ!$D$143:$F$150,3,0),"")</f>
        <v/>
      </c>
      <c r="CU38" s="390" t="str">
        <f t="shared" si="52"/>
        <v/>
      </c>
      <c r="CV38">
        <f t="shared" si="39"/>
        <v>0</v>
      </c>
      <c r="CW38" s="312" t="e">
        <f t="shared" si="9"/>
        <v>#N/A</v>
      </c>
      <c r="CX38" s="391" t="str">
        <f t="shared" si="28"/>
        <v/>
      </c>
      <c r="CY38" s="721"/>
      <c r="CZ38" s="395" t="s">
        <v>120</v>
      </c>
      <c r="DA38" s="396" t="e">
        <f t="shared" si="40"/>
        <v>#N/A</v>
      </c>
      <c r="DB38" s="396" t="e">
        <f>VLOOKUP(DA38,参照データ!$D$143:$J$150,7,0)</f>
        <v>#N/A</v>
      </c>
      <c r="DC38" s="723"/>
      <c r="DD38" s="397" t="e">
        <f t="shared" ref="DD38" si="65">DD37</f>
        <v>#N/A</v>
      </c>
      <c r="DF38" s="254">
        <f>(COUNTIF($J38:$O38,"&lt;&gt;"))*参照データ!$D$3</f>
        <v>0</v>
      </c>
      <c r="DG38" s="297">
        <f t="shared" si="29"/>
        <v>0</v>
      </c>
      <c r="DH38" s="157" cm="1">
        <f t="array" ref="DH38">(SUM(COUNTIF($Q38:$U38,{"入門","初級"}))*3000)+(SUM(COUNTIF($Q38:$U38,{"中級","上級"})*3500))</f>
        <v>0</v>
      </c>
      <c r="DI38" s="157">
        <f>IFERROR(VLOOKUP(V38,参照データ!$G$3:$I$6,3,0),0)</f>
        <v>0</v>
      </c>
      <c r="DJ38" s="469">
        <f t="shared" si="30"/>
        <v>0</v>
      </c>
      <c r="DK38" s="157">
        <f t="shared" si="31"/>
        <v>0</v>
      </c>
      <c r="DL38" s="157">
        <f t="shared" si="32"/>
        <v>0</v>
      </c>
      <c r="DM38" s="157">
        <f>(COUNTIF($AM38,"○"))*参照データ!$H$13</f>
        <v>0</v>
      </c>
      <c r="DN38" s="157">
        <f>(IF($AO38&gt;0,参照データ!$I$14,0))</f>
        <v>0</v>
      </c>
      <c r="DO38" s="249">
        <f t="array" ref="DO38">SUM(IF(ISERROR($DF38:$DN38),0,($DF38:$DN38)))</f>
        <v>0</v>
      </c>
      <c r="DP38" s="157"/>
      <c r="DQ38" s="157">
        <f t="shared" si="33"/>
        <v>0</v>
      </c>
      <c r="DR38" s="157">
        <f t="shared" si="34"/>
        <v>0</v>
      </c>
      <c r="DS38" s="157">
        <f t="shared" si="35"/>
        <v>0</v>
      </c>
      <c r="DT38" s="157">
        <f t="shared" si="36"/>
        <v>0</v>
      </c>
      <c r="DU38" s="157">
        <f t="shared" si="37"/>
        <v>0</v>
      </c>
      <c r="DV38" t="str">
        <f t="shared" si="10"/>
        <v/>
      </c>
    </row>
    <row r="39" spans="1:126" ht="18.75" customHeight="1" x14ac:dyDescent="0.2">
      <c r="A39">
        <v>27</v>
      </c>
      <c r="B39" s="183" t="str">
        <f>IF(D39="","",IF(D39="重複","",COUNTIF(B$13:$B38,"&gt;0")+1))</f>
        <v/>
      </c>
      <c r="C39" s="264"/>
      <c r="D39" s="134"/>
      <c r="E39" s="134"/>
      <c r="F39" s="135"/>
      <c r="G39" s="136"/>
      <c r="H39" s="169">
        <f t="shared" si="11"/>
        <v>0</v>
      </c>
      <c r="I39" s="170" t="str">
        <f t="shared" si="12"/>
        <v/>
      </c>
      <c r="J39" s="138"/>
      <c r="K39" s="138"/>
      <c r="L39" s="138"/>
      <c r="M39" s="139"/>
      <c r="N39" s="146"/>
      <c r="O39" s="141"/>
      <c r="P39" s="336"/>
      <c r="Q39" s="142"/>
      <c r="R39" s="143"/>
      <c r="S39" s="143"/>
      <c r="T39" s="144"/>
      <c r="U39" s="143"/>
      <c r="V39" s="267"/>
      <c r="W39" s="145"/>
      <c r="X39" s="269"/>
      <c r="Y39" s="148" t="str">
        <f>IF($X39="○",VLOOKUP($AY39,参照データ!$D$89:$E$100,2),"")</f>
        <v/>
      </c>
      <c r="Z39" s="271"/>
      <c r="AA39" s="148" t="str">
        <f>IF($Z39="○",VLOOKUP($AY39,参照データ!$D$89:$J$100,6),"")</f>
        <v/>
      </c>
      <c r="AB39" s="271"/>
      <c r="AC39" s="148" t="str">
        <f>IF($AB39="○",VLOOKUP($AY39,参照データ!$D$89:$N$100,10),"")</f>
        <v/>
      </c>
      <c r="AD39" s="271"/>
      <c r="AE39" s="148" t="str">
        <f>IF($AD39="○",VLOOKUP($AY39,参照データ!$D$89:$Q$100,14),"")</f>
        <v/>
      </c>
      <c r="AF39" s="271"/>
      <c r="AG39" s="148" t="str">
        <f>IF($AF39="○",VLOOKUP($AY39,参照データ!$D$89:$Q$100,14),"")</f>
        <v/>
      </c>
      <c r="AH39" s="266"/>
      <c r="AI39" s="370" t="str">
        <f t="shared" si="38"/>
        <v/>
      </c>
      <c r="AJ39" s="498"/>
      <c r="AK39" s="497" t="str">
        <f>IF($AJ39="○",VLOOKUP($AY39,参照データ!$D$89:$U$100,18),"")</f>
        <v/>
      </c>
      <c r="AL39" s="170" t="str">
        <f t="shared" si="13"/>
        <v/>
      </c>
      <c r="AM39" s="269"/>
      <c r="AN39" s="413" t="str">
        <f>IF($AM39="○",VLOOKUP($CR39,参照データ!$D$143:$E$150,2),"")</f>
        <v/>
      </c>
      <c r="AO39" s="416"/>
      <c r="AP39" s="366" t="str">
        <f t="shared" si="14"/>
        <v/>
      </c>
      <c r="AQ39" s="465"/>
      <c r="AR39" s="466"/>
      <c r="AU39" s="273" t="str">
        <f t="shared" si="15"/>
        <v/>
      </c>
      <c r="AV39" s="274" t="str">
        <f t="shared" si="16"/>
        <v/>
      </c>
      <c r="AW39" s="226" t="e">
        <f t="shared" si="17"/>
        <v>#VALUE!</v>
      </c>
      <c r="AX39" t="e">
        <f>IF(AND(AW39&gt;=参照データ!$C$71,AW39&lt;=参照データ!$C$69),1,IF(AND(AW39&gt;=参照データ!$C$74,AW39&lt;=参照データ!$C$72),2,IF(AND(AW39&gt;=参照データ!$C$77,AW39&lt;=参照データ!$C$75),3,IF(AND(AW39&gt;=参照データ!$C$80,AW39&lt;=参照データ!$C$78),4,IF(AND(AW39&gt;=参照データ!$C$83,AW39&lt;=参照データ!$C$81),5,IF(AW39&lt;=参照データ!$C$84,6,0))))))</f>
        <v>#VALUE!</v>
      </c>
      <c r="AY39" t="e">
        <f>IF(AV39="男子",VLOOKUP(AX39,参照データ!$C$95:$D$100,2),AX39)</f>
        <v>#VALUE!</v>
      </c>
      <c r="AZ39" s="241" t="str">
        <f t="shared" si="2"/>
        <v/>
      </c>
      <c r="BA39" s="219" t="str">
        <f>IF($J39="○",VLOOKUP($AZ39,参照データ!$B$24:$G$41,3,0),"")</f>
        <v/>
      </c>
      <c r="BB39" s="220" t="str">
        <f>IF($K39="○",VLOOKUP($AZ39,参照データ!$B$24:$G$41,4,0),"")</f>
        <v/>
      </c>
      <c r="BC39" s="220" t="str">
        <f>IF($L39="○",VLOOKUP($AZ39,参照データ!$B$24:$G$41,5,0),"")</f>
        <v/>
      </c>
      <c r="BD39" s="220" t="str">
        <f>IF($M39="○",VLOOKUP($AZ39,参照データ!$B$24:$G$41,6,0),"")</f>
        <v/>
      </c>
      <c r="BE39" s="220" t="str">
        <f>IF($N39="○",VLOOKUP($AZ39,参照データ!$B$24:$H$41,7,0),"")</f>
        <v/>
      </c>
      <c r="BF39" s="221" t="str">
        <f>IF($O39="○",VLOOKUP($AZ39,参照データ!$B$24:$I$41,8,0),"")</f>
        <v/>
      </c>
      <c r="BG39" s="344" t="str">
        <f t="shared" si="18"/>
        <v/>
      </c>
      <c r="BH39" s="242" t="str">
        <f>IF($Q39="入門",VLOOKUP($AZ39,参照データ!$B$46:$U$63,3,0),IF($Q39="初級",VLOOKUP($AZ39,参照データ!$B$46:$U$63,4,0),IF($Q39="中級",VLOOKUP($AZ39,参照データ!$B$46:$U$63,5,0),IF($Q39="上級",VLOOKUP($AZ39,参照データ!$B$46:$U$63,6,0),""))))</f>
        <v/>
      </c>
      <c r="BI39" s="242" t="str">
        <f>IF($R39="初級",VLOOKUP($AZ39,参照データ!$B$46:$U$63,7,0),IF($R39="中級",VLOOKUP($AZ39,参照データ!$B$46:$U$63,8,0),IF($R39="上級",VLOOKUP($AZ39,参照データ!$B$46:$U$63,9,0),"")))</f>
        <v/>
      </c>
      <c r="BJ39" s="242" t="str">
        <f>IF($S39="初級",VLOOKUP($AZ39,参照データ!$B$46:$U$63,10,0),IF($S39="上級",VLOOKUP($AZ39,参照データ!$B$46:$U$63,11,0),""))</f>
        <v/>
      </c>
      <c r="BK39" s="242" t="str">
        <f>IF($T39="初級",VLOOKUP($AZ39,参照データ!$B$46:$U$63,15,0),IF($T39="中級",VLOOKUP($AZ39,参照データ!$B$46:$U$63,16,0),IF($T39="上級",VLOOKUP($AZ39,参照データ!$B$46:$U$63,17,0),"")))</f>
        <v/>
      </c>
      <c r="BL39" s="242" t="str">
        <f>IF($U39="初級",VLOOKUP($AZ39,参照データ!$B$46:$U$63,12,0),IF($U39="中級",VLOOKUP($AZ39,参照データ!$B$46:$U$63,13,0),IF($U39="上級",VLOOKUP($AZ39,参照データ!$B$46:$U$63,14,0),"")))</f>
        <v/>
      </c>
      <c r="BM39" s="21" t="str">
        <f t="shared" si="19"/>
        <v/>
      </c>
      <c r="BN39" s="21" t="str">
        <f>IF($V39="初級",VLOOKUP($AZ39,参照データ!$B$46:$U$63,18,0),IF($V39="中級",VLOOKUP($AZ39,参照データ!$B$46:$U$63,19,0),IF($V39="上級",VLOOKUP($AZ39,参照データ!$B$46:$U$63,20,0),"")))</f>
        <v/>
      </c>
      <c r="BO39" s="604">
        <v>14</v>
      </c>
      <c r="BP39" s="255" t="s">
        <v>266</v>
      </c>
      <c r="BQ39" s="251" t="str">
        <f t="shared" si="20"/>
        <v/>
      </c>
      <c r="BR39" s="594" t="str">
        <f>IF(OR($BQ39="",$BQ40=""),"",IF($BQ39&gt;$BQ40,$BQ39,$BQ40))</f>
        <v/>
      </c>
      <c r="BT39" s="241" t="e">
        <f t="shared" si="3"/>
        <v>#VALUE!</v>
      </c>
      <c r="BU39" s="245" t="str">
        <f>IF($X39="○",VLOOKUP($BT39,参照データ!$D$89:$F$100,3,0),"")</f>
        <v/>
      </c>
      <c r="BV39" s="246" t="str">
        <f t="shared" si="4"/>
        <v/>
      </c>
      <c r="BW39" s="245" t="str">
        <f>IF($Z39="○",VLOOKUP($BT39,参照データ!$D$89:$J$100,7,0),"")</f>
        <v/>
      </c>
      <c r="BX39" s="246" t="str">
        <f t="shared" si="5"/>
        <v/>
      </c>
      <c r="BY39" s="245" t="str">
        <f>IF($AB39="○",VLOOKUP($BT39,参照データ!$D$89:$N$100,11,0),"")</f>
        <v/>
      </c>
      <c r="BZ39" s="246" t="str">
        <f t="shared" si="6"/>
        <v/>
      </c>
      <c r="CA39" s="245" t="str">
        <f>IF($AD39="○",VLOOKUP($BT39,参照データ!$D$89:$T$100,17,0),"")</f>
        <v/>
      </c>
      <c r="CB39" s="246" t="str">
        <f t="shared" si="21"/>
        <v/>
      </c>
      <c r="CC39" s="245" t="str">
        <f>IF($AF39="○",VLOOKUP($BT39,参照データ!$D$89:$T$100,16,0),"")</f>
        <v/>
      </c>
      <c r="CD39" s="246" t="str">
        <f t="shared" si="22"/>
        <v/>
      </c>
      <c r="CE39" s="25">
        <f t="shared" si="23"/>
        <v>0</v>
      </c>
      <c r="CF39" s="312" t="e">
        <f t="shared" si="7"/>
        <v>#N/A</v>
      </c>
      <c r="CG39" s="300" t="str">
        <f t="shared" si="24"/>
        <v/>
      </c>
      <c r="CH39" s="648">
        <v>14</v>
      </c>
      <c r="CI39" s="256" t="s">
        <v>121</v>
      </c>
      <c r="CJ39" s="257" t="e">
        <f t="shared" si="8"/>
        <v>#N/A</v>
      </c>
      <c r="CK39" s="257" t="e">
        <f>VLOOKUP(CJ39,参照データ!$D$89:$R$100,15,0)</f>
        <v>#N/A</v>
      </c>
      <c r="CL39" s="649" t="e">
        <f>IF(OR($CJ39="",$CJ40=""),"",IF($CJ39&gt;$CJ40,$CK39,$CK40))</f>
        <v>#N/A</v>
      </c>
      <c r="CM39" s="289" t="e">
        <f>INDEX(参照データ!$Q$89:$Q$100,MATCH($CL39,参照データ!$R$89:$R$100,0))</f>
        <v>#N/A</v>
      </c>
      <c r="CN39" s="290" t="str">
        <f>IF($AJ39="○",VLOOKUP($BT39,参照データ!$D$89:$V$100,19,0),"")</f>
        <v/>
      </c>
      <c r="CO39" s="246" t="str">
        <f t="shared" si="25"/>
        <v/>
      </c>
      <c r="CQ39" t="e">
        <f>IF(AND($AW39&gt;=参照データ!$C$132,$AW39&lt;=参照データ!$C$130),1,IF(AND($AW39&gt;=参照データ!$C$135,$AW39&lt;=参照データ!$C$133),2,IF(AND($AW39&gt;=参照データ!$C$138,$AW39&lt;=参照データ!$C$136),3,IF($AW39&lt;=参照データ!$C$139,4,0))))</f>
        <v>#VALUE!</v>
      </c>
      <c r="CR39" t="e">
        <f>IF($AV39="男子",VLOOKUP(CQ39,参照データ!$C$143:$D$150,2),CQ39)</f>
        <v>#VALUE!</v>
      </c>
      <c r="CS39" s="388" t="e">
        <f t="shared" si="26"/>
        <v>#VALUE!</v>
      </c>
      <c r="CT39" s="389" t="str">
        <f>IF($AM39="○",VLOOKUP($CS39,参照データ!$D$143:$F$150,3,0),"")</f>
        <v/>
      </c>
      <c r="CU39" s="390" t="str">
        <f t="shared" si="52"/>
        <v/>
      </c>
      <c r="CV39">
        <f t="shared" si="39"/>
        <v>0</v>
      </c>
      <c r="CW39" s="312" t="e">
        <f t="shared" si="9"/>
        <v>#N/A</v>
      </c>
      <c r="CX39" s="391" t="str">
        <f t="shared" si="28"/>
        <v/>
      </c>
      <c r="CY39" s="724">
        <v>14</v>
      </c>
      <c r="CZ39" s="398" t="s">
        <v>121</v>
      </c>
      <c r="DA39" s="399" t="e">
        <f t="shared" si="40"/>
        <v>#N/A</v>
      </c>
      <c r="DB39" s="399" t="e">
        <f>VLOOKUP(DA39,参照データ!$D$143:$J$150,7,0)</f>
        <v>#N/A</v>
      </c>
      <c r="DC39" s="725" t="e">
        <f t="shared" ref="DC39" si="66">IF(OR($DA39="",$DA40=""),"",IF($DA39&gt;$DA40,$DB39,$DB40))</f>
        <v>#N/A</v>
      </c>
      <c r="DD39" s="400" t="e">
        <f>INDEX(参照データ!$I$143:$I$150,MATCH($DC39,参照データ!$J$143:$J$150,0))</f>
        <v>#N/A</v>
      </c>
      <c r="DF39" s="254">
        <f>(COUNTIF($J39:$O39,"&lt;&gt;"))*参照データ!$D$3</f>
        <v>0</v>
      </c>
      <c r="DG39" s="297">
        <f t="shared" si="29"/>
        <v>0</v>
      </c>
      <c r="DH39" s="157" cm="1">
        <f t="array" ref="DH39">(SUM(COUNTIF($Q39:$U39,{"入門","初級"}))*3000)+(SUM(COUNTIF($Q39:$U39,{"中級","上級"})*3500))</f>
        <v>0</v>
      </c>
      <c r="DI39" s="157">
        <f>IFERROR(VLOOKUP(V39,参照データ!$G$3:$I$6,3,0),0)</f>
        <v>0</v>
      </c>
      <c r="DJ39" s="469">
        <f t="shared" si="30"/>
        <v>0</v>
      </c>
      <c r="DK39" s="157">
        <f t="shared" si="31"/>
        <v>0</v>
      </c>
      <c r="DL39" s="157">
        <f t="shared" si="32"/>
        <v>0</v>
      </c>
      <c r="DM39" s="157">
        <f>(COUNTIF($AM39,"○"))*参照データ!$H$13</f>
        <v>0</v>
      </c>
      <c r="DN39" s="157">
        <f>(IF($AO39&gt;0,参照データ!$I$14,0))</f>
        <v>0</v>
      </c>
      <c r="DO39" s="249">
        <f t="array" ref="DO39">SUM(IF(ISERROR($DF39:$DN39),0,($DF39:$DN39)))</f>
        <v>0</v>
      </c>
      <c r="DP39" s="157"/>
      <c r="DQ39" s="157">
        <f t="shared" si="33"/>
        <v>0</v>
      </c>
      <c r="DR39" s="157">
        <f t="shared" si="34"/>
        <v>0</v>
      </c>
      <c r="DS39" s="157">
        <f t="shared" si="35"/>
        <v>0</v>
      </c>
      <c r="DT39" s="157">
        <f t="shared" si="36"/>
        <v>0</v>
      </c>
      <c r="DU39" s="157">
        <f t="shared" si="37"/>
        <v>0</v>
      </c>
      <c r="DV39" t="str">
        <f t="shared" si="10"/>
        <v/>
      </c>
    </row>
    <row r="40" spans="1:126" ht="18.75" customHeight="1" x14ac:dyDescent="0.2">
      <c r="A40">
        <v>28</v>
      </c>
      <c r="B40" s="183" t="str">
        <f>IF(D40="","",IF(D40="重複","",COUNTIF(B$13:$B39,"&gt;0")+1))</f>
        <v/>
      </c>
      <c r="C40" s="264"/>
      <c r="D40" s="134"/>
      <c r="E40" s="134"/>
      <c r="F40" s="135"/>
      <c r="G40" s="136"/>
      <c r="H40" s="169">
        <f t="shared" si="11"/>
        <v>0</v>
      </c>
      <c r="I40" s="170" t="str">
        <f t="shared" si="12"/>
        <v/>
      </c>
      <c r="J40" s="138"/>
      <c r="K40" s="138"/>
      <c r="L40" s="138"/>
      <c r="M40" s="139"/>
      <c r="N40" s="146"/>
      <c r="O40" s="141"/>
      <c r="P40" s="336"/>
      <c r="Q40" s="142"/>
      <c r="R40" s="143"/>
      <c r="S40" s="143"/>
      <c r="T40" s="144"/>
      <c r="U40" s="143"/>
      <c r="V40" s="267"/>
      <c r="W40" s="145"/>
      <c r="X40" s="269"/>
      <c r="Y40" s="148" t="str">
        <f>IF($X40="○",VLOOKUP($AY40,参照データ!$D$89:$E$100,2),"")</f>
        <v/>
      </c>
      <c r="Z40" s="271"/>
      <c r="AA40" s="148" t="str">
        <f>IF($Z40="○",VLOOKUP($AY40,参照データ!$D$89:$J$100,6),"")</f>
        <v/>
      </c>
      <c r="AB40" s="271"/>
      <c r="AC40" s="148" t="str">
        <f>IF($AB40="○",VLOOKUP($AY40,参照データ!$D$89:$N$100,10),"")</f>
        <v/>
      </c>
      <c r="AD40" s="271"/>
      <c r="AE40" s="148" t="str">
        <f>IF($AD40="○",VLOOKUP($AY40,参照データ!$D$89:$Q$100,14),"")</f>
        <v/>
      </c>
      <c r="AF40" s="271"/>
      <c r="AG40" s="148" t="str">
        <f>IF($AF40="○",VLOOKUP($AY40,参照データ!$D$89:$Q$100,14),"")</f>
        <v/>
      </c>
      <c r="AH40" s="266"/>
      <c r="AI40" s="370" t="str">
        <f t="shared" si="38"/>
        <v/>
      </c>
      <c r="AJ40" s="498"/>
      <c r="AK40" s="497" t="str">
        <f>IF($AJ40="○",VLOOKUP($AY40,参照データ!$D$89:$U$100,18),"")</f>
        <v/>
      </c>
      <c r="AL40" s="170" t="str">
        <f t="shared" si="13"/>
        <v/>
      </c>
      <c r="AM40" s="269"/>
      <c r="AN40" s="413" t="str">
        <f>IF($AM40="○",VLOOKUP($CR40,参照データ!$D$143:$E$150,2),"")</f>
        <v/>
      </c>
      <c r="AO40" s="416"/>
      <c r="AP40" s="366" t="str">
        <f t="shared" si="14"/>
        <v/>
      </c>
      <c r="AQ40" s="465"/>
      <c r="AR40" s="466"/>
      <c r="AU40" s="273" t="str">
        <f t="shared" si="15"/>
        <v/>
      </c>
      <c r="AV40" s="274" t="str">
        <f t="shared" si="16"/>
        <v/>
      </c>
      <c r="AW40" s="226" t="e">
        <f t="shared" si="17"/>
        <v>#VALUE!</v>
      </c>
      <c r="AX40" t="e">
        <f>IF(AND(AW40&gt;=参照データ!$C$71,AW40&lt;=参照データ!$C$69),1,IF(AND(AW40&gt;=参照データ!$C$74,AW40&lt;=参照データ!$C$72),2,IF(AND(AW40&gt;=参照データ!$C$77,AW40&lt;=参照データ!$C$75),3,IF(AND(AW40&gt;=参照データ!$C$80,AW40&lt;=参照データ!$C$78),4,IF(AND(AW40&gt;=参照データ!$C$83,AW40&lt;=参照データ!$C$81),5,IF(AW40&lt;=参照データ!$C$84,6,0))))))</f>
        <v>#VALUE!</v>
      </c>
      <c r="AY40" t="e">
        <f>IF(AV40="男子",VLOOKUP(AX40,参照データ!$C$95:$D$100,2),AX40)</f>
        <v>#VALUE!</v>
      </c>
      <c r="AZ40" s="241" t="str">
        <f t="shared" si="2"/>
        <v/>
      </c>
      <c r="BA40" s="219" t="str">
        <f>IF($J40="○",VLOOKUP($AZ40,参照データ!$B$24:$G$41,3,0),"")</f>
        <v/>
      </c>
      <c r="BB40" s="220" t="str">
        <f>IF($K40="○",VLOOKUP($AZ40,参照データ!$B$24:$G$41,4,0),"")</f>
        <v/>
      </c>
      <c r="BC40" s="220" t="str">
        <f>IF($L40="○",VLOOKUP($AZ40,参照データ!$B$24:$G$41,5,0),"")</f>
        <v/>
      </c>
      <c r="BD40" s="220" t="str">
        <f>IF($M40="○",VLOOKUP($AZ40,参照データ!$B$24:$G$41,6,0),"")</f>
        <v/>
      </c>
      <c r="BE40" s="220" t="str">
        <f>IF($N40="○",VLOOKUP($AZ40,参照データ!$B$24:$H$41,7,0),"")</f>
        <v/>
      </c>
      <c r="BF40" s="221" t="str">
        <f>IF($O40="○",VLOOKUP($AZ40,参照データ!$B$24:$I$41,8,0),"")</f>
        <v/>
      </c>
      <c r="BG40" s="344" t="str">
        <f t="shared" si="18"/>
        <v/>
      </c>
      <c r="BH40" s="242" t="str">
        <f>IF($Q40="入門",VLOOKUP($AZ40,参照データ!$B$46:$U$63,3,0),IF($Q40="初級",VLOOKUP($AZ40,参照データ!$B$46:$U$63,4,0),IF($Q40="中級",VLOOKUP($AZ40,参照データ!$B$46:$U$63,5,0),IF($Q40="上級",VLOOKUP($AZ40,参照データ!$B$46:$U$63,6,0),""))))</f>
        <v/>
      </c>
      <c r="BI40" s="242" t="str">
        <f>IF($R40="初級",VLOOKUP($AZ40,参照データ!$B$46:$U$63,7,0),IF($R40="中級",VLOOKUP($AZ40,参照データ!$B$46:$U$63,8,0),IF($R40="上級",VLOOKUP($AZ40,参照データ!$B$46:$U$63,9,0),"")))</f>
        <v/>
      </c>
      <c r="BJ40" s="242" t="str">
        <f>IF($S40="初級",VLOOKUP($AZ40,参照データ!$B$46:$U$63,10,0),IF($S40="上級",VLOOKUP($AZ40,参照データ!$B$46:$U$63,11,0),""))</f>
        <v/>
      </c>
      <c r="BK40" s="242" t="str">
        <f>IF($T40="初級",VLOOKUP($AZ40,参照データ!$B$46:$U$63,15,0),IF($T40="中級",VLOOKUP($AZ40,参照データ!$B$46:$U$63,16,0),IF($T40="上級",VLOOKUP($AZ40,参照データ!$B$46:$U$63,17,0),"")))</f>
        <v/>
      </c>
      <c r="BL40" s="242" t="str">
        <f>IF($U40="初級",VLOOKUP($AZ40,参照データ!$B$46:$U$63,12,0),IF($U40="中級",VLOOKUP($AZ40,参照データ!$B$46:$U$63,13,0),IF($U40="上級",VLOOKUP($AZ40,参照データ!$B$46:$U$63,14,0),"")))</f>
        <v/>
      </c>
      <c r="BM40" s="21" t="str">
        <f t="shared" si="19"/>
        <v/>
      </c>
      <c r="BN40" s="21" t="str">
        <f>IF($V40="初級",VLOOKUP($AZ40,参照データ!$B$46:$U$63,18,0),IF($V40="中級",VLOOKUP($AZ40,参照データ!$B$46:$U$63,19,0),IF($V40="上級",VLOOKUP($AZ40,参照データ!$B$46:$U$63,20,0),"")))</f>
        <v/>
      </c>
      <c r="BO40" s="587"/>
      <c r="BP40" s="250" t="s">
        <v>267</v>
      </c>
      <c r="BQ40" s="251" t="str">
        <f t="shared" si="20"/>
        <v/>
      </c>
      <c r="BR40" s="595"/>
      <c r="BT40" s="241" t="e">
        <f t="shared" si="3"/>
        <v>#VALUE!</v>
      </c>
      <c r="BU40" s="245" t="str">
        <f>IF($X40="○",VLOOKUP($BT40,参照データ!$D$89:$F$100,3,0),"")</f>
        <v/>
      </c>
      <c r="BV40" s="246" t="str">
        <f t="shared" si="4"/>
        <v/>
      </c>
      <c r="BW40" s="245" t="str">
        <f>IF($Z40="○",VLOOKUP($BT40,参照データ!$D$89:$J$100,7,0),"")</f>
        <v/>
      </c>
      <c r="BX40" s="246" t="str">
        <f t="shared" si="5"/>
        <v/>
      </c>
      <c r="BY40" s="245" t="str">
        <f>IF($AB40="○",VLOOKUP($BT40,参照データ!$D$89:$N$100,11,0),"")</f>
        <v/>
      </c>
      <c r="BZ40" s="246" t="str">
        <f t="shared" si="6"/>
        <v/>
      </c>
      <c r="CA40" s="245" t="str">
        <f>IF($AD40="○",VLOOKUP($BT40,参照データ!$D$89:$T$100,17,0),"")</f>
        <v/>
      </c>
      <c r="CB40" s="246" t="str">
        <f t="shared" si="21"/>
        <v/>
      </c>
      <c r="CC40" s="245" t="str">
        <f>IF($AF40="○",VLOOKUP($BT40,参照データ!$D$89:$T$100,16,0),"")</f>
        <v/>
      </c>
      <c r="CD40" s="246" t="str">
        <f t="shared" si="22"/>
        <v/>
      </c>
      <c r="CE40" s="25">
        <f t="shared" si="23"/>
        <v>0</v>
      </c>
      <c r="CF40" s="312" t="e">
        <f t="shared" si="7"/>
        <v>#N/A</v>
      </c>
      <c r="CG40" s="300" t="str">
        <f t="shared" si="24"/>
        <v/>
      </c>
      <c r="CH40" s="645"/>
      <c r="CI40" s="252" t="s">
        <v>122</v>
      </c>
      <c r="CJ40" s="253" t="e">
        <f t="shared" si="8"/>
        <v>#N/A</v>
      </c>
      <c r="CK40" s="253" t="e">
        <f>VLOOKUP(CJ40,参照データ!$D$89:$R$100,15,0)</f>
        <v>#N/A</v>
      </c>
      <c r="CL40" s="647"/>
      <c r="CM40" s="288" t="e">
        <f>CM39</f>
        <v>#N/A</v>
      </c>
      <c r="CN40" s="290" t="str">
        <f>IF($AJ40="○",VLOOKUP($BT40,参照データ!$D$89:$V$100,19,0),"")</f>
        <v/>
      </c>
      <c r="CO40" s="246" t="str">
        <f t="shared" si="25"/>
        <v/>
      </c>
      <c r="CQ40" t="e">
        <f>IF(AND($AW40&gt;=参照データ!$C$132,$AW40&lt;=参照データ!$C$130),1,IF(AND($AW40&gt;=参照データ!$C$135,$AW40&lt;=参照データ!$C$133),2,IF(AND($AW40&gt;=参照データ!$C$138,$AW40&lt;=参照データ!$C$136),3,IF($AW40&lt;=参照データ!$C$139,4,0))))</f>
        <v>#VALUE!</v>
      </c>
      <c r="CR40" t="e">
        <f>IF($AV40="男子",VLOOKUP(CQ40,参照データ!$C$143:$D$150,2),CQ40)</f>
        <v>#VALUE!</v>
      </c>
      <c r="CS40" s="388" t="e">
        <f t="shared" si="26"/>
        <v>#VALUE!</v>
      </c>
      <c r="CT40" s="389" t="str">
        <f>IF($AM40="○",VLOOKUP($CS40,参照データ!$D$143:$F$150,3,0),"")</f>
        <v/>
      </c>
      <c r="CU40" s="390" t="str">
        <f t="shared" si="52"/>
        <v/>
      </c>
      <c r="CV40">
        <f t="shared" si="39"/>
        <v>0</v>
      </c>
      <c r="CW40" s="312" t="e">
        <f t="shared" si="9"/>
        <v>#N/A</v>
      </c>
      <c r="CX40" s="391" t="str">
        <f t="shared" si="28"/>
        <v/>
      </c>
      <c r="CY40" s="721"/>
      <c r="CZ40" s="395" t="s">
        <v>122</v>
      </c>
      <c r="DA40" s="396" t="e">
        <f t="shared" si="40"/>
        <v>#N/A</v>
      </c>
      <c r="DB40" s="396" t="e">
        <f>VLOOKUP(DA40,参照データ!$D$143:$J$150,7,0)</f>
        <v>#N/A</v>
      </c>
      <c r="DC40" s="723"/>
      <c r="DD40" s="397" t="e">
        <f t="shared" ref="DD40" si="67">DD39</f>
        <v>#N/A</v>
      </c>
      <c r="DF40" s="254">
        <f>(COUNTIF($J40:$O40,"&lt;&gt;"))*参照データ!$D$3</f>
        <v>0</v>
      </c>
      <c r="DG40" s="297">
        <f t="shared" si="29"/>
        <v>0</v>
      </c>
      <c r="DH40" s="157" cm="1">
        <f t="array" ref="DH40">(SUM(COUNTIF($Q40:$U40,{"入門","初級"}))*3000)+(SUM(COUNTIF($Q40:$U40,{"中級","上級"})*3500))</f>
        <v>0</v>
      </c>
      <c r="DI40" s="157">
        <f>IFERROR(VLOOKUP(V40,参照データ!$G$3:$I$6,3,0),0)</f>
        <v>0</v>
      </c>
      <c r="DJ40" s="469">
        <f t="shared" si="30"/>
        <v>0</v>
      </c>
      <c r="DK40" s="157">
        <f t="shared" si="31"/>
        <v>0</v>
      </c>
      <c r="DL40" s="157">
        <f t="shared" si="32"/>
        <v>0</v>
      </c>
      <c r="DM40" s="157">
        <f>(COUNTIF($AM40,"○"))*参照データ!$H$13</f>
        <v>0</v>
      </c>
      <c r="DN40" s="157">
        <f>(IF($AO40&gt;0,参照データ!$I$14,0))</f>
        <v>0</v>
      </c>
      <c r="DO40" s="249">
        <f t="array" ref="DO40">SUM(IF(ISERROR($DF40:$DN40),0,($DF40:$DN40)))</f>
        <v>0</v>
      </c>
      <c r="DP40" s="157"/>
      <c r="DQ40" s="157">
        <f t="shared" si="33"/>
        <v>0</v>
      </c>
      <c r="DR40" s="157">
        <f t="shared" si="34"/>
        <v>0</v>
      </c>
      <c r="DS40" s="157">
        <f t="shared" si="35"/>
        <v>0</v>
      </c>
      <c r="DT40" s="157">
        <f t="shared" si="36"/>
        <v>0</v>
      </c>
      <c r="DU40" s="157">
        <f t="shared" si="37"/>
        <v>0</v>
      </c>
      <c r="DV40" t="str">
        <f t="shared" si="10"/>
        <v/>
      </c>
    </row>
    <row r="41" spans="1:126" ht="18.75" customHeight="1" x14ac:dyDescent="0.2">
      <c r="A41">
        <v>29</v>
      </c>
      <c r="B41" s="183" t="str">
        <f>IF(D41="","",IF(D41="重複","",COUNTIF(B$13:$B40,"&gt;0")+1))</f>
        <v/>
      </c>
      <c r="C41" s="264"/>
      <c r="D41" s="134"/>
      <c r="E41" s="134"/>
      <c r="F41" s="135"/>
      <c r="G41" s="136"/>
      <c r="H41" s="169">
        <f t="shared" si="11"/>
        <v>0</v>
      </c>
      <c r="I41" s="170" t="str">
        <f t="shared" si="12"/>
        <v/>
      </c>
      <c r="J41" s="138"/>
      <c r="K41" s="138"/>
      <c r="L41" s="138"/>
      <c r="M41" s="139"/>
      <c r="N41" s="146"/>
      <c r="O41" s="141"/>
      <c r="P41" s="336"/>
      <c r="Q41" s="142"/>
      <c r="R41" s="143"/>
      <c r="S41" s="143"/>
      <c r="T41" s="144"/>
      <c r="U41" s="143"/>
      <c r="V41" s="267"/>
      <c r="W41" s="145"/>
      <c r="X41" s="269"/>
      <c r="Y41" s="148" t="str">
        <f>IF($X41="○",VLOOKUP($AY41,参照データ!$D$89:$E$100,2),"")</f>
        <v/>
      </c>
      <c r="Z41" s="271"/>
      <c r="AA41" s="148" t="str">
        <f>IF($Z41="○",VLOOKUP($AY41,参照データ!$D$89:$J$100,6),"")</f>
        <v/>
      </c>
      <c r="AB41" s="271"/>
      <c r="AC41" s="148" t="str">
        <f>IF($AB41="○",VLOOKUP($AY41,参照データ!$D$89:$N$100,10),"")</f>
        <v/>
      </c>
      <c r="AD41" s="271"/>
      <c r="AE41" s="148" t="str">
        <f>IF($AD41="○",VLOOKUP($AY41,参照データ!$D$89:$Q$100,14),"")</f>
        <v/>
      </c>
      <c r="AF41" s="271"/>
      <c r="AG41" s="148" t="str">
        <f>IF($AF41="○",VLOOKUP($AY41,参照データ!$D$89:$Q$100,14),"")</f>
        <v/>
      </c>
      <c r="AH41" s="266"/>
      <c r="AI41" s="370" t="str">
        <f t="shared" si="38"/>
        <v/>
      </c>
      <c r="AJ41" s="498"/>
      <c r="AK41" s="497" t="str">
        <f>IF($AJ41="○",VLOOKUP($AY41,参照データ!$D$89:$U$100,18),"")</f>
        <v/>
      </c>
      <c r="AL41" s="170" t="str">
        <f t="shared" si="13"/>
        <v/>
      </c>
      <c r="AM41" s="269"/>
      <c r="AN41" s="413" t="str">
        <f>IF($AM41="○",VLOOKUP($CR41,参照データ!$D$143:$E$150,2),"")</f>
        <v/>
      </c>
      <c r="AO41" s="416"/>
      <c r="AP41" s="366" t="str">
        <f t="shared" si="14"/>
        <v/>
      </c>
      <c r="AQ41" s="465"/>
      <c r="AR41" s="466"/>
      <c r="AU41" s="273" t="str">
        <f t="shared" si="15"/>
        <v/>
      </c>
      <c r="AV41" s="274" t="str">
        <f t="shared" si="16"/>
        <v/>
      </c>
      <c r="AW41" s="226" t="e">
        <f t="shared" si="17"/>
        <v>#VALUE!</v>
      </c>
      <c r="AX41" t="e">
        <f>IF(AND(AW41&gt;=参照データ!$C$71,AW41&lt;=参照データ!$C$69),1,IF(AND(AW41&gt;=参照データ!$C$74,AW41&lt;=参照データ!$C$72),2,IF(AND(AW41&gt;=参照データ!$C$77,AW41&lt;=参照データ!$C$75),3,IF(AND(AW41&gt;=参照データ!$C$80,AW41&lt;=参照データ!$C$78),4,IF(AND(AW41&gt;=参照データ!$C$83,AW41&lt;=参照データ!$C$81),5,IF(AW41&lt;=参照データ!$C$84,6,0))))))</f>
        <v>#VALUE!</v>
      </c>
      <c r="AY41" t="e">
        <f>IF(AV41="男子",VLOOKUP(AX41,参照データ!$C$95:$D$100,2),AX41)</f>
        <v>#VALUE!</v>
      </c>
      <c r="AZ41" s="241" t="str">
        <f t="shared" si="2"/>
        <v/>
      </c>
      <c r="BA41" s="219" t="str">
        <f>IF($J41="○",VLOOKUP($AZ41,参照データ!$B$24:$G$41,3,0),"")</f>
        <v/>
      </c>
      <c r="BB41" s="220" t="str">
        <f>IF($K41="○",VLOOKUP($AZ41,参照データ!$B$24:$G$41,4,0),"")</f>
        <v/>
      </c>
      <c r="BC41" s="220" t="str">
        <f>IF($L41="○",VLOOKUP($AZ41,参照データ!$B$24:$G$41,5,0),"")</f>
        <v/>
      </c>
      <c r="BD41" s="220" t="str">
        <f>IF($M41="○",VLOOKUP($AZ41,参照データ!$B$24:$G$41,6,0),"")</f>
        <v/>
      </c>
      <c r="BE41" s="220" t="str">
        <f>IF($N41="○",VLOOKUP($AZ41,参照データ!$B$24:$H$41,7,0),"")</f>
        <v/>
      </c>
      <c r="BF41" s="221" t="str">
        <f>IF($O41="○",VLOOKUP($AZ41,参照データ!$B$24:$I$41,8,0),"")</f>
        <v/>
      </c>
      <c r="BG41" s="344" t="str">
        <f t="shared" si="18"/>
        <v/>
      </c>
      <c r="BH41" s="242" t="str">
        <f>IF($Q41="入門",VLOOKUP($AZ41,参照データ!$B$46:$U$63,3,0),IF($Q41="初級",VLOOKUP($AZ41,参照データ!$B$46:$U$63,4,0),IF($Q41="中級",VLOOKUP($AZ41,参照データ!$B$46:$U$63,5,0),IF($Q41="上級",VLOOKUP($AZ41,参照データ!$B$46:$U$63,6,0),""))))</f>
        <v/>
      </c>
      <c r="BI41" s="242" t="str">
        <f>IF($R41="初級",VLOOKUP($AZ41,参照データ!$B$46:$U$63,7,0),IF($R41="中級",VLOOKUP($AZ41,参照データ!$B$46:$U$63,8,0),IF($R41="上級",VLOOKUP($AZ41,参照データ!$B$46:$U$63,9,0),"")))</f>
        <v/>
      </c>
      <c r="BJ41" s="242" t="str">
        <f>IF($S41="初級",VLOOKUP($AZ41,参照データ!$B$46:$U$63,10,0),IF($S41="上級",VLOOKUP($AZ41,参照データ!$B$46:$U$63,11,0),""))</f>
        <v/>
      </c>
      <c r="BK41" s="242" t="str">
        <f>IF($T41="初級",VLOOKUP($AZ41,参照データ!$B$46:$U$63,15,0),IF($T41="中級",VLOOKUP($AZ41,参照データ!$B$46:$U$63,16,0),IF($T41="上級",VLOOKUP($AZ41,参照データ!$B$46:$U$63,17,0),"")))</f>
        <v/>
      </c>
      <c r="BL41" s="242" t="str">
        <f>IF($U41="初級",VLOOKUP($AZ41,参照データ!$B$46:$U$63,12,0),IF($U41="中級",VLOOKUP($AZ41,参照データ!$B$46:$U$63,13,0),IF($U41="上級",VLOOKUP($AZ41,参照データ!$B$46:$U$63,14,0),"")))</f>
        <v/>
      </c>
      <c r="BM41" s="21" t="str">
        <f t="shared" si="19"/>
        <v/>
      </c>
      <c r="BN41" s="21" t="str">
        <f>IF($V41="初級",VLOOKUP($AZ41,参照データ!$B$46:$U$63,18,0),IF($V41="中級",VLOOKUP($AZ41,参照データ!$B$46:$U$63,19,0),IF($V41="上級",VLOOKUP($AZ41,参照データ!$B$46:$U$63,20,0),"")))</f>
        <v/>
      </c>
      <c r="BO41" s="604">
        <v>15</v>
      </c>
      <c r="BP41" s="255" t="s">
        <v>268</v>
      </c>
      <c r="BQ41" s="251" t="str">
        <f t="shared" si="20"/>
        <v/>
      </c>
      <c r="BR41" s="594" t="str">
        <f>IF(OR($BQ41="",$BQ42=""),"",IF($BQ41&gt;$BQ42,$BQ41,$BQ42))</f>
        <v/>
      </c>
      <c r="BT41" s="241" t="e">
        <f t="shared" si="3"/>
        <v>#VALUE!</v>
      </c>
      <c r="BU41" s="245" t="str">
        <f>IF($X41="○",VLOOKUP($BT41,参照データ!$D$89:$F$100,3,0),"")</f>
        <v/>
      </c>
      <c r="BV41" s="246" t="str">
        <f t="shared" si="4"/>
        <v/>
      </c>
      <c r="BW41" s="245" t="str">
        <f>IF($Z41="○",VLOOKUP($BT41,参照データ!$D$89:$J$100,7,0),"")</f>
        <v/>
      </c>
      <c r="BX41" s="246" t="str">
        <f t="shared" si="5"/>
        <v/>
      </c>
      <c r="BY41" s="245" t="str">
        <f>IF($AB41="○",VLOOKUP($BT41,参照データ!$D$89:$N$100,11,0),"")</f>
        <v/>
      </c>
      <c r="BZ41" s="246" t="str">
        <f t="shared" si="6"/>
        <v/>
      </c>
      <c r="CA41" s="245" t="str">
        <f>IF($AD41="○",VLOOKUP($BT41,参照データ!$D$89:$T$100,17,0),"")</f>
        <v/>
      </c>
      <c r="CB41" s="246" t="str">
        <f t="shared" si="21"/>
        <v/>
      </c>
      <c r="CC41" s="245" t="str">
        <f>IF($AF41="○",VLOOKUP($BT41,参照データ!$D$89:$T$100,16,0),"")</f>
        <v/>
      </c>
      <c r="CD41" s="246" t="str">
        <f t="shared" si="22"/>
        <v/>
      </c>
      <c r="CE41" s="25">
        <f t="shared" si="23"/>
        <v>0</v>
      </c>
      <c r="CF41" s="312" t="e">
        <f t="shared" si="7"/>
        <v>#N/A</v>
      </c>
      <c r="CG41" s="300" t="str">
        <f t="shared" si="24"/>
        <v/>
      </c>
      <c r="CH41" s="648">
        <v>15</v>
      </c>
      <c r="CI41" s="256" t="s">
        <v>123</v>
      </c>
      <c r="CJ41" s="257" t="e">
        <f t="shared" si="8"/>
        <v>#N/A</v>
      </c>
      <c r="CK41" s="257" t="e">
        <f>VLOOKUP(CJ41,参照データ!$D$89:$R$100,15,0)</f>
        <v>#N/A</v>
      </c>
      <c r="CL41" s="649" t="e">
        <f>IF(OR($CJ41="",$CJ42=""),"",IF($CJ41&gt;$CJ42,$CK41,$CK42))</f>
        <v>#N/A</v>
      </c>
      <c r="CM41" s="289" t="e">
        <f>INDEX(参照データ!$Q$89:$Q$100,MATCH($CL41,参照データ!$R$89:$R$100,0))</f>
        <v>#N/A</v>
      </c>
      <c r="CN41" s="290" t="str">
        <f>IF($AJ41="○",VLOOKUP($BT41,参照データ!$D$89:$V$100,19,0),"")</f>
        <v/>
      </c>
      <c r="CO41" s="246" t="str">
        <f t="shared" si="25"/>
        <v/>
      </c>
      <c r="CQ41" t="e">
        <f>IF(AND($AW41&gt;=参照データ!$C$132,$AW41&lt;=参照データ!$C$130),1,IF(AND($AW41&gt;=参照データ!$C$135,$AW41&lt;=参照データ!$C$133),2,IF(AND($AW41&gt;=参照データ!$C$138,$AW41&lt;=参照データ!$C$136),3,IF($AW41&lt;=参照データ!$C$139,4,0))))</f>
        <v>#VALUE!</v>
      </c>
      <c r="CR41" t="e">
        <f>IF($AV41="男子",VLOOKUP(CQ41,参照データ!$C$143:$D$150,2),CQ41)</f>
        <v>#VALUE!</v>
      </c>
      <c r="CS41" s="388" t="e">
        <f t="shared" si="26"/>
        <v>#VALUE!</v>
      </c>
      <c r="CT41" s="389" t="str">
        <f>IF($AM41="○",VLOOKUP($CS41,参照データ!$D$143:$F$150,3,0),"")</f>
        <v/>
      </c>
      <c r="CU41" s="390" t="str">
        <f t="shared" si="52"/>
        <v/>
      </c>
      <c r="CV41">
        <f t="shared" si="39"/>
        <v>0</v>
      </c>
      <c r="CW41" s="312" t="e">
        <f t="shared" si="9"/>
        <v>#N/A</v>
      </c>
      <c r="CX41" s="391" t="str">
        <f t="shared" si="28"/>
        <v/>
      </c>
      <c r="CY41" s="724">
        <v>15</v>
      </c>
      <c r="CZ41" s="398" t="s">
        <v>123</v>
      </c>
      <c r="DA41" s="399" t="e">
        <f t="shared" si="40"/>
        <v>#N/A</v>
      </c>
      <c r="DB41" s="399" t="e">
        <f>VLOOKUP(DA41,参照データ!$D$143:$J$150,7,0)</f>
        <v>#N/A</v>
      </c>
      <c r="DC41" s="725" t="e">
        <f t="shared" ref="DC41" si="68">IF(OR($DA41="",$DA42=""),"",IF($DA41&gt;$DA42,$DB41,$DB42))</f>
        <v>#N/A</v>
      </c>
      <c r="DD41" s="400" t="e">
        <f>INDEX(参照データ!$I$143:$I$150,MATCH($DC41,参照データ!$J$143:$J$150,0))</f>
        <v>#N/A</v>
      </c>
      <c r="DF41" s="254">
        <f>(COUNTIF($J41:$O41,"&lt;&gt;"))*参照データ!$D$3</f>
        <v>0</v>
      </c>
      <c r="DG41" s="297">
        <f t="shared" si="29"/>
        <v>0</v>
      </c>
      <c r="DH41" s="157" cm="1">
        <f t="array" ref="DH41">(SUM(COUNTIF($Q41:$U41,{"入門","初級"}))*3000)+(SUM(COUNTIF($Q41:$U41,{"中級","上級"})*3500))</f>
        <v>0</v>
      </c>
      <c r="DI41" s="157">
        <f>IFERROR(VLOOKUP(V41,参照データ!$G$3:$I$6,3,0),0)</f>
        <v>0</v>
      </c>
      <c r="DJ41" s="469">
        <f t="shared" si="30"/>
        <v>0</v>
      </c>
      <c r="DK41" s="157">
        <f t="shared" si="31"/>
        <v>0</v>
      </c>
      <c r="DL41" s="157">
        <f t="shared" si="32"/>
        <v>0</v>
      </c>
      <c r="DM41" s="157">
        <f>(COUNTIF($AM41,"○"))*参照データ!$H$13</f>
        <v>0</v>
      </c>
      <c r="DN41" s="157">
        <f>(IF($AO41&gt;0,参照データ!$I$14,0))</f>
        <v>0</v>
      </c>
      <c r="DO41" s="249">
        <f t="array" ref="DO41">SUM(IF(ISERROR($DF41:$DN41),0,($DF41:$DN41)))</f>
        <v>0</v>
      </c>
      <c r="DP41" s="157"/>
      <c r="DQ41" s="157">
        <f t="shared" si="33"/>
        <v>0</v>
      </c>
      <c r="DR41" s="157">
        <f t="shared" si="34"/>
        <v>0</v>
      </c>
      <c r="DS41" s="157">
        <f t="shared" si="35"/>
        <v>0</v>
      </c>
      <c r="DT41" s="157">
        <f t="shared" si="36"/>
        <v>0</v>
      </c>
      <c r="DU41" s="157">
        <f t="shared" si="37"/>
        <v>0</v>
      </c>
      <c r="DV41" t="str">
        <f t="shared" si="10"/>
        <v/>
      </c>
    </row>
    <row r="42" spans="1:126" ht="18.75" customHeight="1" x14ac:dyDescent="0.2">
      <c r="A42">
        <v>30</v>
      </c>
      <c r="B42" s="183" t="str">
        <f>IF(D42="","",IF(D42="重複","",COUNTIF(B$13:$B41,"&gt;0")+1))</f>
        <v/>
      </c>
      <c r="C42" s="264"/>
      <c r="D42" s="134"/>
      <c r="E42" s="134"/>
      <c r="F42" s="135"/>
      <c r="G42" s="136"/>
      <c r="H42" s="169">
        <f t="shared" si="11"/>
        <v>0</v>
      </c>
      <c r="I42" s="170" t="str">
        <f t="shared" si="12"/>
        <v/>
      </c>
      <c r="J42" s="138"/>
      <c r="K42" s="138"/>
      <c r="L42" s="138"/>
      <c r="M42" s="139"/>
      <c r="N42" s="146"/>
      <c r="O42" s="141"/>
      <c r="P42" s="336"/>
      <c r="Q42" s="142"/>
      <c r="R42" s="143"/>
      <c r="S42" s="143"/>
      <c r="T42" s="144"/>
      <c r="U42" s="143"/>
      <c r="V42" s="267"/>
      <c r="W42" s="145"/>
      <c r="X42" s="269"/>
      <c r="Y42" s="148" t="str">
        <f>IF($X42="○",VLOOKUP($AY42,参照データ!$D$89:$E$100,2),"")</f>
        <v/>
      </c>
      <c r="Z42" s="271"/>
      <c r="AA42" s="148" t="str">
        <f>IF($Z42="○",VLOOKUP($AY42,参照データ!$D$89:$J$100,6),"")</f>
        <v/>
      </c>
      <c r="AB42" s="271"/>
      <c r="AC42" s="148" t="str">
        <f>IF($AB42="○",VLOOKUP($AY42,参照データ!$D$89:$N$100,10),"")</f>
        <v/>
      </c>
      <c r="AD42" s="271"/>
      <c r="AE42" s="148" t="str">
        <f>IF($AD42="○",VLOOKUP($AY42,参照データ!$D$89:$Q$100,14),"")</f>
        <v/>
      </c>
      <c r="AF42" s="271"/>
      <c r="AG42" s="148" t="str">
        <f>IF($AF42="○",VLOOKUP($AY42,参照データ!$D$89:$Q$100,14),"")</f>
        <v/>
      </c>
      <c r="AH42" s="266"/>
      <c r="AI42" s="370" t="str">
        <f t="shared" si="38"/>
        <v/>
      </c>
      <c r="AJ42" s="498"/>
      <c r="AK42" s="497" t="str">
        <f>IF($AJ42="○",VLOOKUP($AY42,参照データ!$D$89:$U$100,18),"")</f>
        <v/>
      </c>
      <c r="AL42" s="170" t="str">
        <f t="shared" si="13"/>
        <v/>
      </c>
      <c r="AM42" s="269"/>
      <c r="AN42" s="413" t="str">
        <f>IF($AM42="○",VLOOKUP($CR42,参照データ!$D$143:$E$150,2),"")</f>
        <v/>
      </c>
      <c r="AO42" s="416"/>
      <c r="AP42" s="366" t="str">
        <f t="shared" si="14"/>
        <v/>
      </c>
      <c r="AQ42" s="465"/>
      <c r="AR42" s="466"/>
      <c r="AU42" s="273" t="str">
        <f t="shared" si="15"/>
        <v/>
      </c>
      <c r="AV42" s="274" t="str">
        <f t="shared" si="16"/>
        <v/>
      </c>
      <c r="AW42" s="226" t="e">
        <f t="shared" si="17"/>
        <v>#VALUE!</v>
      </c>
      <c r="AX42" t="e">
        <f>IF(AND(AW42&gt;=参照データ!$C$71,AW42&lt;=参照データ!$C$69),1,IF(AND(AW42&gt;=参照データ!$C$74,AW42&lt;=参照データ!$C$72),2,IF(AND(AW42&gt;=参照データ!$C$77,AW42&lt;=参照データ!$C$75),3,IF(AND(AW42&gt;=参照データ!$C$80,AW42&lt;=参照データ!$C$78),4,IF(AND(AW42&gt;=参照データ!$C$83,AW42&lt;=参照データ!$C$81),5,IF(AW42&lt;=参照データ!$C$84,6,0))))))</f>
        <v>#VALUE!</v>
      </c>
      <c r="AY42" t="e">
        <f>IF(AV42="男子",VLOOKUP(AX42,参照データ!$C$95:$D$100,2),AX42)</f>
        <v>#VALUE!</v>
      </c>
      <c r="AZ42" s="241" t="str">
        <f t="shared" si="2"/>
        <v/>
      </c>
      <c r="BA42" s="219" t="str">
        <f>IF($J42="○",VLOOKUP($AZ42,参照データ!$B$24:$G$41,3,0),"")</f>
        <v/>
      </c>
      <c r="BB42" s="220" t="str">
        <f>IF($K42="○",VLOOKUP($AZ42,参照データ!$B$24:$G$41,4,0),"")</f>
        <v/>
      </c>
      <c r="BC42" s="220" t="str">
        <f>IF($L42="○",VLOOKUP($AZ42,参照データ!$B$24:$G$41,5,0),"")</f>
        <v/>
      </c>
      <c r="BD42" s="220" t="str">
        <f>IF($M42="○",VLOOKUP($AZ42,参照データ!$B$24:$G$41,6,0),"")</f>
        <v/>
      </c>
      <c r="BE42" s="220" t="str">
        <f>IF($N42="○",VLOOKUP($AZ42,参照データ!$B$24:$H$41,7,0),"")</f>
        <v/>
      </c>
      <c r="BF42" s="221" t="str">
        <f>IF($O42="○",VLOOKUP($AZ42,参照データ!$B$24:$I$41,8,0),"")</f>
        <v/>
      </c>
      <c r="BG42" s="344" t="str">
        <f t="shared" si="18"/>
        <v/>
      </c>
      <c r="BH42" s="242" t="str">
        <f>IF($Q42="入門",VLOOKUP($AZ42,参照データ!$B$46:$U$63,3,0),IF($Q42="初級",VLOOKUP($AZ42,参照データ!$B$46:$U$63,4,0),IF($Q42="中級",VLOOKUP($AZ42,参照データ!$B$46:$U$63,5,0),IF($Q42="上級",VLOOKUP($AZ42,参照データ!$B$46:$U$63,6,0),""))))</f>
        <v/>
      </c>
      <c r="BI42" s="242" t="str">
        <f>IF($R42="初級",VLOOKUP($AZ42,参照データ!$B$46:$U$63,7,0),IF($R42="中級",VLOOKUP($AZ42,参照データ!$B$46:$U$63,8,0),IF($R42="上級",VLOOKUP($AZ42,参照データ!$B$46:$U$63,9,0),"")))</f>
        <v/>
      </c>
      <c r="BJ42" s="242" t="str">
        <f>IF($S42="初級",VLOOKUP($AZ42,参照データ!$B$46:$U$63,10,0),IF($S42="上級",VLOOKUP($AZ42,参照データ!$B$46:$U$63,11,0),""))</f>
        <v/>
      </c>
      <c r="BK42" s="242" t="str">
        <f>IF($T42="初級",VLOOKUP($AZ42,参照データ!$B$46:$U$63,15,0),IF($T42="中級",VLOOKUP($AZ42,参照データ!$B$46:$U$63,16,0),IF($T42="上級",VLOOKUP($AZ42,参照データ!$B$46:$U$63,17,0),"")))</f>
        <v/>
      </c>
      <c r="BL42" s="242" t="str">
        <f>IF($U42="初級",VLOOKUP($AZ42,参照データ!$B$46:$U$63,12,0),IF($U42="中級",VLOOKUP($AZ42,参照データ!$B$46:$U$63,13,0),IF($U42="上級",VLOOKUP($AZ42,参照データ!$B$46:$U$63,14,0),"")))</f>
        <v/>
      </c>
      <c r="BM42" s="21" t="str">
        <f t="shared" si="19"/>
        <v/>
      </c>
      <c r="BN42" s="21" t="str">
        <f>IF($V42="初級",VLOOKUP($AZ42,参照データ!$B$46:$U$63,18,0),IF($V42="中級",VLOOKUP($AZ42,参照データ!$B$46:$U$63,19,0),IF($V42="上級",VLOOKUP($AZ42,参照データ!$B$46:$U$63,20,0),"")))</f>
        <v/>
      </c>
      <c r="BO42" s="587"/>
      <c r="BP42" s="250" t="s">
        <v>269</v>
      </c>
      <c r="BQ42" s="251" t="str">
        <f t="shared" si="20"/>
        <v/>
      </c>
      <c r="BR42" s="595"/>
      <c r="BT42" s="241" t="e">
        <f t="shared" si="3"/>
        <v>#VALUE!</v>
      </c>
      <c r="BU42" s="245" t="str">
        <f>IF($X42="○",VLOOKUP($BT42,参照データ!$D$89:$F$100,3,0),"")</f>
        <v/>
      </c>
      <c r="BV42" s="246" t="str">
        <f t="shared" si="4"/>
        <v/>
      </c>
      <c r="BW42" s="245" t="str">
        <f>IF($Z42="○",VLOOKUP($BT42,参照データ!$D$89:$J$100,7,0),"")</f>
        <v/>
      </c>
      <c r="BX42" s="246" t="str">
        <f t="shared" si="5"/>
        <v/>
      </c>
      <c r="BY42" s="245" t="str">
        <f>IF($AB42="○",VLOOKUP($BT42,参照データ!$D$89:$N$100,11,0),"")</f>
        <v/>
      </c>
      <c r="BZ42" s="246" t="str">
        <f t="shared" si="6"/>
        <v/>
      </c>
      <c r="CA42" s="245" t="str">
        <f>IF($AD42="○",VLOOKUP($BT42,参照データ!$D$89:$T$100,17,0),"")</f>
        <v/>
      </c>
      <c r="CB42" s="246" t="str">
        <f t="shared" si="21"/>
        <v/>
      </c>
      <c r="CC42" s="245" t="str">
        <f>IF($AF42="○",VLOOKUP($BT42,参照データ!$D$89:$T$100,16,0),"")</f>
        <v/>
      </c>
      <c r="CD42" s="246" t="str">
        <f t="shared" si="22"/>
        <v/>
      </c>
      <c r="CE42" s="25">
        <f t="shared" si="23"/>
        <v>0</v>
      </c>
      <c r="CF42" s="312" t="e">
        <f t="shared" si="7"/>
        <v>#N/A</v>
      </c>
      <c r="CG42" s="300" t="str">
        <f t="shared" si="24"/>
        <v/>
      </c>
      <c r="CH42" s="645"/>
      <c r="CI42" s="252" t="s">
        <v>124</v>
      </c>
      <c r="CJ42" s="253" t="e">
        <f t="shared" si="8"/>
        <v>#N/A</v>
      </c>
      <c r="CK42" s="253" t="e">
        <f>VLOOKUP(CJ42,参照データ!$D$89:$R$100,15,0)</f>
        <v>#N/A</v>
      </c>
      <c r="CL42" s="647"/>
      <c r="CM42" s="288" t="e">
        <f>CM41</f>
        <v>#N/A</v>
      </c>
      <c r="CN42" s="290" t="str">
        <f>IF($AJ42="○",VLOOKUP($BT42,参照データ!$D$89:$V$100,19,0),"")</f>
        <v/>
      </c>
      <c r="CO42" s="246" t="str">
        <f t="shared" si="25"/>
        <v/>
      </c>
      <c r="CQ42" t="e">
        <f>IF(AND($AW42&gt;=参照データ!$C$132,$AW42&lt;=参照データ!$C$130),1,IF(AND($AW42&gt;=参照データ!$C$135,$AW42&lt;=参照データ!$C$133),2,IF(AND($AW42&gt;=参照データ!$C$138,$AW42&lt;=参照データ!$C$136),3,IF($AW42&lt;=参照データ!$C$139,4,0))))</f>
        <v>#VALUE!</v>
      </c>
      <c r="CR42" t="e">
        <f>IF($AV42="男子",VLOOKUP(CQ42,参照データ!$C$143:$D$150,2),CQ42)</f>
        <v>#VALUE!</v>
      </c>
      <c r="CS42" s="388" t="e">
        <f t="shared" si="26"/>
        <v>#VALUE!</v>
      </c>
      <c r="CT42" s="389" t="str">
        <f>IF($AM42="○",VLOOKUP($CS42,参照データ!$D$143:$F$150,3,0),"")</f>
        <v/>
      </c>
      <c r="CU42" s="390" t="str">
        <f t="shared" si="52"/>
        <v/>
      </c>
      <c r="CV42">
        <f t="shared" si="39"/>
        <v>0</v>
      </c>
      <c r="CW42" s="312" t="e">
        <f t="shared" si="9"/>
        <v>#N/A</v>
      </c>
      <c r="CX42" s="391" t="str">
        <f t="shared" si="28"/>
        <v/>
      </c>
      <c r="CY42" s="721"/>
      <c r="CZ42" s="395" t="s">
        <v>124</v>
      </c>
      <c r="DA42" s="396" t="e">
        <f t="shared" si="40"/>
        <v>#N/A</v>
      </c>
      <c r="DB42" s="396" t="e">
        <f>VLOOKUP(DA42,参照データ!$D$143:$J$150,7,0)</f>
        <v>#N/A</v>
      </c>
      <c r="DC42" s="723"/>
      <c r="DD42" s="397" t="e">
        <f t="shared" ref="DD42" si="69">DD41</f>
        <v>#N/A</v>
      </c>
      <c r="DF42" s="254">
        <f>(COUNTIF($J42:$O42,"&lt;&gt;"))*参照データ!$D$3</f>
        <v>0</v>
      </c>
      <c r="DG42" s="297">
        <f t="shared" si="29"/>
        <v>0</v>
      </c>
      <c r="DH42" s="157" cm="1">
        <f t="array" ref="DH42">(SUM(COUNTIF($Q42:$U42,{"入門","初級"}))*3000)+(SUM(COUNTIF($Q42:$U42,{"中級","上級"})*3500))</f>
        <v>0</v>
      </c>
      <c r="DI42" s="157">
        <f>IFERROR(VLOOKUP(V42,参照データ!$G$3:$I$6,3,0),0)</f>
        <v>0</v>
      </c>
      <c r="DJ42" s="469">
        <f t="shared" si="30"/>
        <v>0</v>
      </c>
      <c r="DK42" s="157">
        <f t="shared" si="31"/>
        <v>0</v>
      </c>
      <c r="DL42" s="157">
        <f t="shared" si="32"/>
        <v>0</v>
      </c>
      <c r="DM42" s="157">
        <f>(COUNTIF($AM42,"○"))*参照データ!$H$13</f>
        <v>0</v>
      </c>
      <c r="DN42" s="157">
        <f>(IF($AO42&gt;0,参照データ!$I$14,0))</f>
        <v>0</v>
      </c>
      <c r="DO42" s="249">
        <f t="array" ref="DO42">SUM(IF(ISERROR($DF42:$DN42),0,($DF42:$DN42)))</f>
        <v>0</v>
      </c>
      <c r="DP42" s="157"/>
      <c r="DQ42" s="157">
        <f t="shared" si="33"/>
        <v>0</v>
      </c>
      <c r="DR42" s="157">
        <f t="shared" si="34"/>
        <v>0</v>
      </c>
      <c r="DS42" s="157">
        <f t="shared" si="35"/>
        <v>0</v>
      </c>
      <c r="DT42" s="157">
        <f t="shared" si="36"/>
        <v>0</v>
      </c>
      <c r="DU42" s="157">
        <f t="shared" si="37"/>
        <v>0</v>
      </c>
      <c r="DV42" t="str">
        <f t="shared" si="10"/>
        <v/>
      </c>
    </row>
    <row r="43" spans="1:126" ht="18.75" customHeight="1" x14ac:dyDescent="0.2">
      <c r="A43">
        <v>31</v>
      </c>
      <c r="B43" s="183" t="str">
        <f>IF(D43="","",IF(D43="重複","",COUNTIF(B$13:$B42,"&gt;0")+1))</f>
        <v/>
      </c>
      <c r="C43" s="264"/>
      <c r="D43" s="134"/>
      <c r="E43" s="134"/>
      <c r="F43" s="135"/>
      <c r="G43" s="136"/>
      <c r="H43" s="169">
        <f t="shared" si="11"/>
        <v>0</v>
      </c>
      <c r="I43" s="170" t="str">
        <f t="shared" si="12"/>
        <v/>
      </c>
      <c r="J43" s="138"/>
      <c r="K43" s="138"/>
      <c r="L43" s="138"/>
      <c r="M43" s="139"/>
      <c r="N43" s="146"/>
      <c r="O43" s="141"/>
      <c r="P43" s="336"/>
      <c r="Q43" s="142"/>
      <c r="R43" s="143"/>
      <c r="S43" s="143"/>
      <c r="T43" s="144"/>
      <c r="U43" s="143"/>
      <c r="V43" s="267"/>
      <c r="W43" s="145"/>
      <c r="X43" s="269"/>
      <c r="Y43" s="148" t="str">
        <f>IF($X43="○",VLOOKUP($AY43,参照データ!$D$89:$E$100,2),"")</f>
        <v/>
      </c>
      <c r="Z43" s="271"/>
      <c r="AA43" s="148" t="str">
        <f>IF($Z43="○",VLOOKUP($AY43,参照データ!$D$89:$J$100,6),"")</f>
        <v/>
      </c>
      <c r="AB43" s="271"/>
      <c r="AC43" s="148" t="str">
        <f>IF($AB43="○",VLOOKUP($AY43,参照データ!$D$89:$N$100,10),"")</f>
        <v/>
      </c>
      <c r="AD43" s="271"/>
      <c r="AE43" s="148" t="str">
        <f>IF($AD43="○",VLOOKUP($AY43,参照データ!$D$89:$Q$100,14),"")</f>
        <v/>
      </c>
      <c r="AF43" s="271"/>
      <c r="AG43" s="148" t="str">
        <f>IF($AF43="○",VLOOKUP($AY43,参照データ!$D$89:$Q$100,14),"")</f>
        <v/>
      </c>
      <c r="AH43" s="266"/>
      <c r="AI43" s="370" t="str">
        <f t="shared" si="38"/>
        <v/>
      </c>
      <c r="AJ43" s="498"/>
      <c r="AK43" s="497" t="str">
        <f>IF($AJ43="○",VLOOKUP($AY43,参照データ!$D$89:$U$100,18),"")</f>
        <v/>
      </c>
      <c r="AL43" s="170" t="str">
        <f t="shared" si="13"/>
        <v/>
      </c>
      <c r="AM43" s="269"/>
      <c r="AN43" s="413" t="str">
        <f>IF($AM43="○",VLOOKUP($CR43,参照データ!$D$143:$E$150,2),"")</f>
        <v/>
      </c>
      <c r="AO43" s="416"/>
      <c r="AP43" s="366" t="str">
        <f t="shared" si="14"/>
        <v/>
      </c>
      <c r="AQ43" s="465"/>
      <c r="AR43" s="466"/>
      <c r="AU43" s="273" t="str">
        <f t="shared" si="15"/>
        <v/>
      </c>
      <c r="AV43" s="274" t="str">
        <f t="shared" si="16"/>
        <v/>
      </c>
      <c r="AW43" s="226" t="e">
        <f t="shared" si="17"/>
        <v>#VALUE!</v>
      </c>
      <c r="AX43" t="e">
        <f>IF(AND(AW43&gt;=参照データ!$C$71,AW43&lt;=参照データ!$C$69),1,IF(AND(AW43&gt;=参照データ!$C$74,AW43&lt;=参照データ!$C$72),2,IF(AND(AW43&gt;=参照データ!$C$77,AW43&lt;=参照データ!$C$75),3,IF(AND(AW43&gt;=参照データ!$C$80,AW43&lt;=参照データ!$C$78),4,IF(AND(AW43&gt;=参照データ!$C$83,AW43&lt;=参照データ!$C$81),5,IF(AW43&lt;=参照データ!$C$84,6,0))))))</f>
        <v>#VALUE!</v>
      </c>
      <c r="AY43" t="e">
        <f>IF(AV43="男子",VLOOKUP(AX43,参照データ!$C$95:$D$100,2),AX43)</f>
        <v>#VALUE!</v>
      </c>
      <c r="AZ43" s="241" t="str">
        <f t="shared" si="2"/>
        <v/>
      </c>
      <c r="BA43" s="219" t="str">
        <f>IF($J43="○",VLOOKUP($AZ43,参照データ!$B$24:$G$41,3,0),"")</f>
        <v/>
      </c>
      <c r="BB43" s="220" t="str">
        <f>IF($K43="○",VLOOKUP($AZ43,参照データ!$B$24:$G$41,4,0),"")</f>
        <v/>
      </c>
      <c r="BC43" s="220" t="str">
        <f>IF($L43="○",VLOOKUP($AZ43,参照データ!$B$24:$G$41,5,0),"")</f>
        <v/>
      </c>
      <c r="BD43" s="220" t="str">
        <f>IF($M43="○",VLOOKUP($AZ43,参照データ!$B$24:$G$41,6,0),"")</f>
        <v/>
      </c>
      <c r="BE43" s="220" t="str">
        <f>IF($N43="○",VLOOKUP($AZ43,参照データ!$B$24:$H$41,7,0),"")</f>
        <v/>
      </c>
      <c r="BF43" s="221" t="str">
        <f>IF($O43="○",VLOOKUP($AZ43,参照データ!$B$24:$I$41,8,0),"")</f>
        <v/>
      </c>
      <c r="BG43" s="344" t="str">
        <f t="shared" si="18"/>
        <v/>
      </c>
      <c r="BH43" s="242" t="str">
        <f>IF($Q43="入門",VLOOKUP($AZ43,参照データ!$B$46:$U$63,3,0),IF($Q43="初級",VLOOKUP($AZ43,参照データ!$B$46:$U$63,4,0),IF($Q43="中級",VLOOKUP($AZ43,参照データ!$B$46:$U$63,5,0),IF($Q43="上級",VLOOKUP($AZ43,参照データ!$B$46:$U$63,6,0),""))))</f>
        <v/>
      </c>
      <c r="BI43" s="242" t="str">
        <f>IF($R43="初級",VLOOKUP($AZ43,参照データ!$B$46:$U$63,7,0),IF($R43="中級",VLOOKUP($AZ43,参照データ!$B$46:$U$63,8,0),IF($R43="上級",VLOOKUP($AZ43,参照データ!$B$46:$U$63,9,0),"")))</f>
        <v/>
      </c>
      <c r="BJ43" s="242" t="str">
        <f>IF($S43="初級",VLOOKUP($AZ43,参照データ!$B$46:$U$63,10,0),IF($S43="上級",VLOOKUP($AZ43,参照データ!$B$46:$U$63,11,0),""))</f>
        <v/>
      </c>
      <c r="BK43" s="242" t="str">
        <f>IF($T43="初級",VLOOKUP($AZ43,参照データ!$B$46:$U$63,15,0),IF($T43="中級",VLOOKUP($AZ43,参照データ!$B$46:$U$63,16,0),IF($T43="上級",VLOOKUP($AZ43,参照データ!$B$46:$U$63,17,0),"")))</f>
        <v/>
      </c>
      <c r="BL43" s="242" t="str">
        <f>IF($U43="初級",VLOOKUP($AZ43,参照データ!$B$46:$U$63,12,0),IF($U43="中級",VLOOKUP($AZ43,参照データ!$B$46:$U$63,13,0),IF($U43="上級",VLOOKUP($AZ43,参照データ!$B$46:$U$63,14,0),"")))</f>
        <v/>
      </c>
      <c r="BM43" s="21" t="str">
        <f t="shared" si="19"/>
        <v/>
      </c>
      <c r="BN43" s="21" t="str">
        <f>IF($V43="初級",VLOOKUP($AZ43,参照データ!$B$46:$U$63,18,0),IF($V43="中級",VLOOKUP($AZ43,参照データ!$B$46:$U$63,19,0),IF($V43="上級",VLOOKUP($AZ43,参照データ!$B$46:$U$63,20,0),"")))</f>
        <v/>
      </c>
      <c r="BO43" s="604">
        <v>16</v>
      </c>
      <c r="BP43" s="255" t="s">
        <v>270</v>
      </c>
      <c r="BQ43" s="251" t="str">
        <f t="shared" si="20"/>
        <v/>
      </c>
      <c r="BR43" s="594" t="str">
        <f>IF(OR($BQ43="",$BQ44=""),"",IF($BQ43&gt;$BQ44,$BQ43,$BQ44))</f>
        <v/>
      </c>
      <c r="BT43" s="241" t="e">
        <f t="shared" si="3"/>
        <v>#VALUE!</v>
      </c>
      <c r="BU43" s="245" t="str">
        <f>IF($X43="○",VLOOKUP($BT43,参照データ!$D$89:$F$100,3,0),"")</f>
        <v/>
      </c>
      <c r="BV43" s="246" t="str">
        <f t="shared" si="4"/>
        <v/>
      </c>
      <c r="BW43" s="245" t="str">
        <f>IF($Z43="○",VLOOKUP($BT43,参照データ!$D$89:$J$100,7,0),"")</f>
        <v/>
      </c>
      <c r="BX43" s="246" t="str">
        <f t="shared" si="5"/>
        <v/>
      </c>
      <c r="BY43" s="245" t="str">
        <f>IF($AB43="○",VLOOKUP($BT43,参照データ!$D$89:$N$100,11,0),"")</f>
        <v/>
      </c>
      <c r="BZ43" s="246" t="str">
        <f t="shared" si="6"/>
        <v/>
      </c>
      <c r="CA43" s="245" t="str">
        <f>IF($AD43="○",VLOOKUP($BT43,参照データ!$D$89:$T$100,17,0),"")</f>
        <v/>
      </c>
      <c r="CB43" s="246" t="str">
        <f t="shared" si="21"/>
        <v/>
      </c>
      <c r="CC43" s="245" t="str">
        <f>IF($AF43="○",VLOOKUP($BT43,参照データ!$D$89:$T$100,16,0),"")</f>
        <v/>
      </c>
      <c r="CD43" s="246" t="str">
        <f t="shared" si="22"/>
        <v/>
      </c>
      <c r="CE43" s="25">
        <f t="shared" si="23"/>
        <v>0</v>
      </c>
      <c r="CF43" s="312" t="e">
        <f t="shared" si="7"/>
        <v>#N/A</v>
      </c>
      <c r="CG43" s="300" t="str">
        <f t="shared" si="24"/>
        <v/>
      </c>
      <c r="CH43" s="648">
        <v>16</v>
      </c>
      <c r="CI43" s="256" t="s">
        <v>125</v>
      </c>
      <c r="CJ43" s="257" t="e">
        <f t="shared" si="8"/>
        <v>#N/A</v>
      </c>
      <c r="CK43" s="257" t="e">
        <f>VLOOKUP(CJ43,参照データ!$D$89:$R$100,15,0)</f>
        <v>#N/A</v>
      </c>
      <c r="CL43" s="649" t="e">
        <f>IF(OR($CJ43="",$CJ44=""),"",IF($CJ43&gt;$CJ44,$CK43,$CK44))</f>
        <v>#N/A</v>
      </c>
      <c r="CM43" s="289" t="e">
        <f>INDEX(参照データ!$Q$89:$Q$100,MATCH($CL43,参照データ!$R$89:$R$100,0))</f>
        <v>#N/A</v>
      </c>
      <c r="CN43" s="290" t="str">
        <f>IF($AJ43="○",VLOOKUP($BT43,参照データ!$D$89:$V$100,19,0),"")</f>
        <v/>
      </c>
      <c r="CO43" s="246" t="str">
        <f t="shared" si="25"/>
        <v/>
      </c>
      <c r="CQ43" t="e">
        <f>IF(AND($AW43&gt;=参照データ!$C$132,$AW43&lt;=参照データ!$C$130),1,IF(AND($AW43&gt;=参照データ!$C$135,$AW43&lt;=参照データ!$C$133),2,IF(AND($AW43&gt;=参照データ!$C$138,$AW43&lt;=参照データ!$C$136),3,IF($AW43&lt;=参照データ!$C$139,4,0))))</f>
        <v>#VALUE!</v>
      </c>
      <c r="CR43" t="e">
        <f>IF($AV43="男子",VLOOKUP(CQ43,参照データ!$C$143:$D$150,2),CQ43)</f>
        <v>#VALUE!</v>
      </c>
      <c r="CS43" s="388" t="e">
        <f t="shared" si="26"/>
        <v>#VALUE!</v>
      </c>
      <c r="CT43" s="389" t="str">
        <f>IF($AM43="○",VLOOKUP($CS43,参照データ!$D$143:$F$150,3,0),"")</f>
        <v/>
      </c>
      <c r="CU43" s="390" t="str">
        <f t="shared" si="52"/>
        <v/>
      </c>
      <c r="CV43">
        <f t="shared" si="39"/>
        <v>0</v>
      </c>
      <c r="CW43" s="312" t="e">
        <f t="shared" si="9"/>
        <v>#N/A</v>
      </c>
      <c r="CX43" s="391" t="str">
        <f t="shared" si="28"/>
        <v/>
      </c>
      <c r="CY43" s="724">
        <v>16</v>
      </c>
      <c r="CZ43" s="398" t="s">
        <v>125</v>
      </c>
      <c r="DA43" s="399" t="e">
        <f t="shared" si="40"/>
        <v>#N/A</v>
      </c>
      <c r="DB43" s="399" t="e">
        <f>VLOOKUP(DA43,参照データ!$D$143:$J$150,7,0)</f>
        <v>#N/A</v>
      </c>
      <c r="DC43" s="725" t="e">
        <f t="shared" ref="DC43" si="70">IF(OR($DA43="",$DA44=""),"",IF($DA43&gt;$DA44,$DB43,$DB44))</f>
        <v>#N/A</v>
      </c>
      <c r="DD43" s="400" t="e">
        <f>INDEX(参照データ!$I$143:$I$150,MATCH($DC43,参照データ!$J$143:$J$150,0))</f>
        <v>#N/A</v>
      </c>
      <c r="DF43" s="254">
        <f>(COUNTIF($J43:$O43,"&lt;&gt;"))*参照データ!$D$3</f>
        <v>0</v>
      </c>
      <c r="DG43" s="297">
        <f t="shared" si="29"/>
        <v>0</v>
      </c>
      <c r="DH43" s="157" cm="1">
        <f t="array" ref="DH43">(SUM(COUNTIF($Q43:$U43,{"入門","初級"}))*3000)+(SUM(COUNTIF($Q43:$U43,{"中級","上級"})*3500))</f>
        <v>0</v>
      </c>
      <c r="DI43" s="157">
        <f>IFERROR(VLOOKUP(V43,参照データ!$G$3:$I$6,3,0),0)</f>
        <v>0</v>
      </c>
      <c r="DJ43" s="469">
        <f t="shared" si="30"/>
        <v>0</v>
      </c>
      <c r="DK43" s="157">
        <f t="shared" si="31"/>
        <v>0</v>
      </c>
      <c r="DL43" s="157">
        <f t="shared" si="32"/>
        <v>0</v>
      </c>
      <c r="DM43" s="157">
        <f>(COUNTIF($AM43,"○"))*参照データ!$H$13</f>
        <v>0</v>
      </c>
      <c r="DN43" s="157">
        <f>(IF($AO43&gt;0,参照データ!$I$14,0))</f>
        <v>0</v>
      </c>
      <c r="DO43" s="249">
        <f t="array" ref="DO43">SUM(IF(ISERROR($DF43:$DN43),0,($DF43:$DN43)))</f>
        <v>0</v>
      </c>
      <c r="DP43" s="157"/>
      <c r="DQ43" s="157">
        <f t="shared" si="33"/>
        <v>0</v>
      </c>
      <c r="DR43" s="157">
        <f t="shared" si="34"/>
        <v>0</v>
      </c>
      <c r="DS43" s="157">
        <f t="shared" si="35"/>
        <v>0</v>
      </c>
      <c r="DT43" s="157">
        <f t="shared" si="36"/>
        <v>0</v>
      </c>
      <c r="DU43" s="157">
        <f t="shared" si="37"/>
        <v>0</v>
      </c>
      <c r="DV43" t="str">
        <f t="shared" si="10"/>
        <v/>
      </c>
    </row>
    <row r="44" spans="1:126" ht="18.75" customHeight="1" x14ac:dyDescent="0.2">
      <c r="A44">
        <v>32</v>
      </c>
      <c r="B44" s="183" t="str">
        <f>IF(D44="","",IF(D44="重複","",COUNTIF(B$13:$B43,"&gt;0")+1))</f>
        <v/>
      </c>
      <c r="C44" s="264"/>
      <c r="D44" s="134"/>
      <c r="E44" s="134"/>
      <c r="F44" s="135"/>
      <c r="G44" s="136"/>
      <c r="H44" s="169">
        <f t="shared" si="11"/>
        <v>0</v>
      </c>
      <c r="I44" s="170" t="str">
        <f t="shared" si="12"/>
        <v/>
      </c>
      <c r="J44" s="138"/>
      <c r="K44" s="138"/>
      <c r="L44" s="138"/>
      <c r="M44" s="139"/>
      <c r="N44" s="146"/>
      <c r="O44" s="141"/>
      <c r="P44" s="336"/>
      <c r="Q44" s="142"/>
      <c r="R44" s="143"/>
      <c r="S44" s="143"/>
      <c r="T44" s="144"/>
      <c r="U44" s="143"/>
      <c r="V44" s="267"/>
      <c r="W44" s="145"/>
      <c r="X44" s="269"/>
      <c r="Y44" s="148" t="str">
        <f>IF($X44="○",VLOOKUP($AY44,参照データ!$D$89:$E$100,2),"")</f>
        <v/>
      </c>
      <c r="Z44" s="271"/>
      <c r="AA44" s="148" t="str">
        <f>IF($Z44="○",VLOOKUP($AY44,参照データ!$D$89:$J$100,6),"")</f>
        <v/>
      </c>
      <c r="AB44" s="271"/>
      <c r="AC44" s="148" t="str">
        <f>IF($AB44="○",VLOOKUP($AY44,参照データ!$D$89:$N$100,10),"")</f>
        <v/>
      </c>
      <c r="AD44" s="271"/>
      <c r="AE44" s="148" t="str">
        <f>IF($AD44="○",VLOOKUP($AY44,参照データ!$D$89:$Q$100,14),"")</f>
        <v/>
      </c>
      <c r="AF44" s="271"/>
      <c r="AG44" s="148" t="str">
        <f>IF($AF44="○",VLOOKUP($AY44,参照データ!$D$89:$Q$100,14),"")</f>
        <v/>
      </c>
      <c r="AH44" s="266"/>
      <c r="AI44" s="370" t="str">
        <f t="shared" si="38"/>
        <v/>
      </c>
      <c r="AJ44" s="498"/>
      <c r="AK44" s="497" t="str">
        <f>IF($AJ44="○",VLOOKUP($AY44,参照データ!$D$89:$U$100,18),"")</f>
        <v/>
      </c>
      <c r="AL44" s="170" t="str">
        <f t="shared" si="13"/>
        <v/>
      </c>
      <c r="AM44" s="269"/>
      <c r="AN44" s="413" t="str">
        <f>IF($AM44="○",VLOOKUP($CR44,参照データ!$D$143:$E$150,2),"")</f>
        <v/>
      </c>
      <c r="AO44" s="416"/>
      <c r="AP44" s="366" t="str">
        <f t="shared" si="14"/>
        <v/>
      </c>
      <c r="AQ44" s="465"/>
      <c r="AR44" s="466"/>
      <c r="AU44" s="273" t="str">
        <f t="shared" si="15"/>
        <v/>
      </c>
      <c r="AV44" s="274" t="str">
        <f t="shared" si="16"/>
        <v/>
      </c>
      <c r="AW44" s="226" t="e">
        <f t="shared" si="17"/>
        <v>#VALUE!</v>
      </c>
      <c r="AX44" t="e">
        <f>IF(AND(AW44&gt;=参照データ!$C$71,AW44&lt;=参照データ!$C$69),1,IF(AND(AW44&gt;=参照データ!$C$74,AW44&lt;=参照データ!$C$72),2,IF(AND(AW44&gt;=参照データ!$C$77,AW44&lt;=参照データ!$C$75),3,IF(AND(AW44&gt;=参照データ!$C$80,AW44&lt;=参照データ!$C$78),4,IF(AND(AW44&gt;=参照データ!$C$83,AW44&lt;=参照データ!$C$81),5,IF(AW44&lt;=参照データ!$C$84,6,0))))))</f>
        <v>#VALUE!</v>
      </c>
      <c r="AY44" t="e">
        <f>IF(AV44="男子",VLOOKUP(AX44,参照データ!$C$95:$D$100,2),AX44)</f>
        <v>#VALUE!</v>
      </c>
      <c r="AZ44" s="241" t="str">
        <f t="shared" si="2"/>
        <v/>
      </c>
      <c r="BA44" s="219" t="str">
        <f>IF($J44="○",VLOOKUP($AZ44,参照データ!$B$24:$G$41,3,0),"")</f>
        <v/>
      </c>
      <c r="BB44" s="220" t="str">
        <f>IF($K44="○",VLOOKUP($AZ44,参照データ!$B$24:$G$41,4,0),"")</f>
        <v/>
      </c>
      <c r="BC44" s="220" t="str">
        <f>IF($L44="○",VLOOKUP($AZ44,参照データ!$B$24:$G$41,5,0),"")</f>
        <v/>
      </c>
      <c r="BD44" s="220" t="str">
        <f>IF($M44="○",VLOOKUP($AZ44,参照データ!$B$24:$G$41,6,0),"")</f>
        <v/>
      </c>
      <c r="BE44" s="220" t="str">
        <f>IF($N44="○",VLOOKUP($AZ44,参照データ!$B$24:$H$41,7,0),"")</f>
        <v/>
      </c>
      <c r="BF44" s="221" t="str">
        <f>IF($O44="○",VLOOKUP($AZ44,参照データ!$B$24:$I$41,8,0),"")</f>
        <v/>
      </c>
      <c r="BG44" s="344" t="str">
        <f t="shared" si="18"/>
        <v/>
      </c>
      <c r="BH44" s="242" t="str">
        <f>IF($Q44="入門",VLOOKUP($AZ44,参照データ!$B$46:$U$63,3,0),IF($Q44="初級",VLOOKUP($AZ44,参照データ!$B$46:$U$63,4,0),IF($Q44="中級",VLOOKUP($AZ44,参照データ!$B$46:$U$63,5,0),IF($Q44="上級",VLOOKUP($AZ44,参照データ!$B$46:$U$63,6,0),""))))</f>
        <v/>
      </c>
      <c r="BI44" s="242" t="str">
        <f>IF($R44="初級",VLOOKUP($AZ44,参照データ!$B$46:$U$63,7,0),IF($R44="中級",VLOOKUP($AZ44,参照データ!$B$46:$U$63,8,0),IF($R44="上級",VLOOKUP($AZ44,参照データ!$B$46:$U$63,9,0),"")))</f>
        <v/>
      </c>
      <c r="BJ44" s="242" t="str">
        <f>IF($S44="初級",VLOOKUP($AZ44,参照データ!$B$46:$U$63,10,0),IF($S44="上級",VLOOKUP($AZ44,参照データ!$B$46:$U$63,11,0),""))</f>
        <v/>
      </c>
      <c r="BK44" s="242" t="str">
        <f>IF($T44="初級",VLOOKUP($AZ44,参照データ!$B$46:$U$63,15,0),IF($T44="中級",VLOOKUP($AZ44,参照データ!$B$46:$U$63,16,0),IF($T44="上級",VLOOKUP($AZ44,参照データ!$B$46:$U$63,17,0),"")))</f>
        <v/>
      </c>
      <c r="BL44" s="242" t="str">
        <f>IF($U44="初級",VLOOKUP($AZ44,参照データ!$B$46:$U$63,12,0),IF($U44="中級",VLOOKUP($AZ44,参照データ!$B$46:$U$63,13,0),IF($U44="上級",VLOOKUP($AZ44,参照データ!$B$46:$U$63,14,0),"")))</f>
        <v/>
      </c>
      <c r="BM44" s="21" t="str">
        <f t="shared" si="19"/>
        <v/>
      </c>
      <c r="BN44" s="21" t="str">
        <f>IF($V44="初級",VLOOKUP($AZ44,参照データ!$B$46:$U$63,18,0),IF($V44="中級",VLOOKUP($AZ44,参照データ!$B$46:$U$63,19,0),IF($V44="上級",VLOOKUP($AZ44,参照データ!$B$46:$U$63,20,0),"")))</f>
        <v/>
      </c>
      <c r="BO44" s="587"/>
      <c r="BP44" s="250" t="s">
        <v>271</v>
      </c>
      <c r="BQ44" s="251" t="str">
        <f t="shared" si="20"/>
        <v/>
      </c>
      <c r="BR44" s="595"/>
      <c r="BT44" s="241" t="e">
        <f t="shared" si="3"/>
        <v>#VALUE!</v>
      </c>
      <c r="BU44" s="245" t="str">
        <f>IF($X44="○",VLOOKUP($BT44,参照データ!$D$89:$F$100,3,0),"")</f>
        <v/>
      </c>
      <c r="BV44" s="246" t="str">
        <f t="shared" si="4"/>
        <v/>
      </c>
      <c r="BW44" s="245" t="str">
        <f>IF($Z44="○",VLOOKUP($BT44,参照データ!$D$89:$J$100,7,0),"")</f>
        <v/>
      </c>
      <c r="BX44" s="246" t="str">
        <f t="shared" si="5"/>
        <v/>
      </c>
      <c r="BY44" s="245" t="str">
        <f>IF($AB44="○",VLOOKUP($BT44,参照データ!$D$89:$N$100,11,0),"")</f>
        <v/>
      </c>
      <c r="BZ44" s="246" t="str">
        <f t="shared" si="6"/>
        <v/>
      </c>
      <c r="CA44" s="245" t="str">
        <f>IF($AD44="○",VLOOKUP($BT44,参照データ!$D$89:$T$100,17,0),"")</f>
        <v/>
      </c>
      <c r="CB44" s="246" t="str">
        <f t="shared" si="21"/>
        <v/>
      </c>
      <c r="CC44" s="245" t="str">
        <f>IF($AF44="○",VLOOKUP($BT44,参照データ!$D$89:$T$100,16,0),"")</f>
        <v/>
      </c>
      <c r="CD44" s="246" t="str">
        <f t="shared" si="22"/>
        <v/>
      </c>
      <c r="CE44" s="25">
        <f t="shared" si="23"/>
        <v>0</v>
      </c>
      <c r="CF44" s="312" t="e">
        <f t="shared" si="7"/>
        <v>#N/A</v>
      </c>
      <c r="CG44" s="300" t="str">
        <f t="shared" si="24"/>
        <v/>
      </c>
      <c r="CH44" s="645"/>
      <c r="CI44" s="252" t="s">
        <v>126</v>
      </c>
      <c r="CJ44" s="253" t="e">
        <f t="shared" si="8"/>
        <v>#N/A</v>
      </c>
      <c r="CK44" s="253" t="e">
        <f>VLOOKUP(CJ44,参照データ!$D$89:$R$100,15,0)</f>
        <v>#N/A</v>
      </c>
      <c r="CL44" s="647"/>
      <c r="CM44" s="288" t="e">
        <f>CM43</f>
        <v>#N/A</v>
      </c>
      <c r="CN44" s="290" t="str">
        <f>IF($AJ44="○",VLOOKUP($BT44,参照データ!$D$89:$V$100,19,0),"")</f>
        <v/>
      </c>
      <c r="CO44" s="246" t="str">
        <f t="shared" si="25"/>
        <v/>
      </c>
      <c r="CQ44" t="e">
        <f>IF(AND($AW44&gt;=参照データ!$C$132,$AW44&lt;=参照データ!$C$130),1,IF(AND($AW44&gt;=参照データ!$C$135,$AW44&lt;=参照データ!$C$133),2,IF(AND($AW44&gt;=参照データ!$C$138,$AW44&lt;=参照データ!$C$136),3,IF($AW44&lt;=参照データ!$C$139,4,0))))</f>
        <v>#VALUE!</v>
      </c>
      <c r="CR44" t="e">
        <f>IF($AV44="男子",VLOOKUP(CQ44,参照データ!$C$143:$D$150,2),CQ44)</f>
        <v>#VALUE!</v>
      </c>
      <c r="CS44" s="388" t="e">
        <f t="shared" si="26"/>
        <v>#VALUE!</v>
      </c>
      <c r="CT44" s="389" t="str">
        <f>IF($AM44="○",VLOOKUP($CS44,参照データ!$D$143:$F$150,3,0),"")</f>
        <v/>
      </c>
      <c r="CU44" s="390" t="str">
        <f t="shared" si="52"/>
        <v/>
      </c>
      <c r="CV44">
        <f t="shared" si="39"/>
        <v>0</v>
      </c>
      <c r="CW44" s="312" t="e">
        <f t="shared" si="9"/>
        <v>#N/A</v>
      </c>
      <c r="CX44" s="391" t="str">
        <f t="shared" si="28"/>
        <v/>
      </c>
      <c r="CY44" s="721"/>
      <c r="CZ44" s="395" t="s">
        <v>126</v>
      </c>
      <c r="DA44" s="396" t="e">
        <f t="shared" si="40"/>
        <v>#N/A</v>
      </c>
      <c r="DB44" s="396" t="e">
        <f>VLOOKUP(DA44,参照データ!$D$143:$J$150,7,0)</f>
        <v>#N/A</v>
      </c>
      <c r="DC44" s="723"/>
      <c r="DD44" s="397" t="e">
        <f t="shared" ref="DD44" si="71">DD43</f>
        <v>#N/A</v>
      </c>
      <c r="DF44" s="254">
        <f>(COUNTIF($J44:$O44,"&lt;&gt;"))*参照データ!$D$3</f>
        <v>0</v>
      </c>
      <c r="DG44" s="297">
        <f t="shared" si="29"/>
        <v>0</v>
      </c>
      <c r="DH44" s="157" cm="1">
        <f t="array" ref="DH44">(SUM(COUNTIF($Q44:$U44,{"入門","初級"}))*3000)+(SUM(COUNTIF($Q44:$U44,{"中級","上級"})*3500))</f>
        <v>0</v>
      </c>
      <c r="DI44" s="157">
        <f>IFERROR(VLOOKUP(V44,参照データ!$G$3:$I$6,3,0),0)</f>
        <v>0</v>
      </c>
      <c r="DJ44" s="469">
        <f t="shared" si="30"/>
        <v>0</v>
      </c>
      <c r="DK44" s="157">
        <f t="shared" si="31"/>
        <v>0</v>
      </c>
      <c r="DL44" s="157">
        <f t="shared" si="32"/>
        <v>0</v>
      </c>
      <c r="DM44" s="157">
        <f>(COUNTIF($AM44,"○"))*参照データ!$H$13</f>
        <v>0</v>
      </c>
      <c r="DN44" s="157">
        <f>(IF($AO44&gt;0,参照データ!$I$14,0))</f>
        <v>0</v>
      </c>
      <c r="DO44" s="249">
        <f t="array" ref="DO44">SUM(IF(ISERROR($DF44:$DN44),0,($DF44:$DN44)))</f>
        <v>0</v>
      </c>
      <c r="DP44" s="157"/>
      <c r="DQ44" s="157">
        <f t="shared" si="33"/>
        <v>0</v>
      </c>
      <c r="DR44" s="157">
        <f t="shared" si="34"/>
        <v>0</v>
      </c>
      <c r="DS44" s="157">
        <f t="shared" si="35"/>
        <v>0</v>
      </c>
      <c r="DT44" s="157">
        <f t="shared" si="36"/>
        <v>0</v>
      </c>
      <c r="DU44" s="157">
        <f t="shared" si="37"/>
        <v>0</v>
      </c>
      <c r="DV44" t="str">
        <f t="shared" si="10"/>
        <v/>
      </c>
    </row>
    <row r="45" spans="1:126" ht="18.75" customHeight="1" x14ac:dyDescent="0.2">
      <c r="A45">
        <v>33</v>
      </c>
      <c r="B45" s="183" t="str">
        <f>IF(D45="","",IF(D45="重複","",COUNTIF(B$13:$B44,"&gt;0")+1))</f>
        <v/>
      </c>
      <c r="C45" s="264"/>
      <c r="D45" s="134"/>
      <c r="E45" s="134"/>
      <c r="F45" s="135"/>
      <c r="G45" s="136"/>
      <c r="H45" s="169">
        <f t="shared" si="11"/>
        <v>0</v>
      </c>
      <c r="I45" s="170" t="str">
        <f t="shared" si="12"/>
        <v/>
      </c>
      <c r="J45" s="138"/>
      <c r="K45" s="138"/>
      <c r="L45" s="138"/>
      <c r="M45" s="139"/>
      <c r="N45" s="146"/>
      <c r="O45" s="141"/>
      <c r="P45" s="336"/>
      <c r="Q45" s="142"/>
      <c r="R45" s="143"/>
      <c r="S45" s="143"/>
      <c r="T45" s="144"/>
      <c r="U45" s="143"/>
      <c r="V45" s="267"/>
      <c r="W45" s="145"/>
      <c r="X45" s="269"/>
      <c r="Y45" s="148" t="str">
        <f>IF($X45="○",VLOOKUP($AY45,参照データ!$D$89:$E$100,2),"")</f>
        <v/>
      </c>
      <c r="Z45" s="271"/>
      <c r="AA45" s="148" t="str">
        <f>IF($Z45="○",VLOOKUP($AY45,参照データ!$D$89:$J$100,6),"")</f>
        <v/>
      </c>
      <c r="AB45" s="271"/>
      <c r="AC45" s="148" t="str">
        <f>IF($AB45="○",VLOOKUP($AY45,参照データ!$D$89:$N$100,10),"")</f>
        <v/>
      </c>
      <c r="AD45" s="271"/>
      <c r="AE45" s="148" t="str">
        <f>IF($AD45="○",VLOOKUP($AY45,参照データ!$D$89:$Q$100,14),"")</f>
        <v/>
      </c>
      <c r="AF45" s="271"/>
      <c r="AG45" s="148" t="str">
        <f>IF($AF45="○",VLOOKUP($AY45,参照データ!$D$89:$Q$100,14),"")</f>
        <v/>
      </c>
      <c r="AH45" s="266"/>
      <c r="AI45" s="370" t="str">
        <f t="shared" si="38"/>
        <v/>
      </c>
      <c r="AJ45" s="498"/>
      <c r="AK45" s="497" t="str">
        <f>IF($AJ45="○",VLOOKUP($AY45,参照データ!$D$89:$U$100,18),"")</f>
        <v/>
      </c>
      <c r="AL45" s="170" t="str">
        <f t="shared" si="13"/>
        <v/>
      </c>
      <c r="AM45" s="269"/>
      <c r="AN45" s="413" t="str">
        <f>IF($AM45="○",VLOOKUP($CR45,参照データ!$D$143:$E$150,2),"")</f>
        <v/>
      </c>
      <c r="AO45" s="416"/>
      <c r="AP45" s="366" t="str">
        <f t="shared" si="14"/>
        <v/>
      </c>
      <c r="AQ45" s="465"/>
      <c r="AR45" s="466"/>
      <c r="AU45" s="273" t="str">
        <f t="shared" si="15"/>
        <v/>
      </c>
      <c r="AV45" s="274" t="str">
        <f t="shared" si="16"/>
        <v/>
      </c>
      <c r="AW45" s="226" t="e">
        <f t="shared" si="17"/>
        <v>#VALUE!</v>
      </c>
      <c r="AX45" t="e">
        <f>IF(AND(AW45&gt;=参照データ!$C$71,AW45&lt;=参照データ!$C$69),1,IF(AND(AW45&gt;=参照データ!$C$74,AW45&lt;=参照データ!$C$72),2,IF(AND(AW45&gt;=参照データ!$C$77,AW45&lt;=参照データ!$C$75),3,IF(AND(AW45&gt;=参照データ!$C$80,AW45&lt;=参照データ!$C$78),4,IF(AND(AW45&gt;=参照データ!$C$83,AW45&lt;=参照データ!$C$81),5,IF(AW45&lt;=参照データ!$C$84,6,0))))))</f>
        <v>#VALUE!</v>
      </c>
      <c r="AY45" t="e">
        <f>IF(AV45="男子",VLOOKUP(AX45,参照データ!$C$95:$D$100,2),AX45)</f>
        <v>#VALUE!</v>
      </c>
      <c r="AZ45" s="241" t="str">
        <f t="shared" ref="AZ45:AZ72" si="72">IF(I45="","",IF(AND(I45&gt;=7,I45&lt;23),I45,IF(I45&lt;7,6,23)))</f>
        <v/>
      </c>
      <c r="BA45" s="219" t="str">
        <f>IF($J45="○",VLOOKUP($AZ45,参照データ!$B$24:$G$41,3,0),"")</f>
        <v/>
      </c>
      <c r="BB45" s="220" t="str">
        <f>IF($K45="○",VLOOKUP($AZ45,参照データ!$B$24:$G$41,4,0),"")</f>
        <v/>
      </c>
      <c r="BC45" s="220" t="str">
        <f>IF($L45="○",VLOOKUP($AZ45,参照データ!$B$24:$G$41,5,0),"")</f>
        <v/>
      </c>
      <c r="BD45" s="220" t="str">
        <f>IF($M45="○",VLOOKUP($AZ45,参照データ!$B$24:$G$41,6,0),"")</f>
        <v/>
      </c>
      <c r="BE45" s="220" t="str">
        <f>IF($N45="○",VLOOKUP($AZ45,参照データ!$B$24:$H$41,7,0),"")</f>
        <v/>
      </c>
      <c r="BF45" s="221" t="str">
        <f>IF($O45="○",VLOOKUP($AZ45,参照データ!$B$24:$I$41,8,0),"")</f>
        <v/>
      </c>
      <c r="BG45" s="344" t="str">
        <f t="shared" si="18"/>
        <v/>
      </c>
      <c r="BH45" s="242" t="str">
        <f>IF($Q45="入門",VLOOKUP($AZ45,参照データ!$B$46:$U$63,3,0),IF($Q45="初級",VLOOKUP($AZ45,参照データ!$B$46:$U$63,4,0),IF($Q45="中級",VLOOKUP($AZ45,参照データ!$B$46:$U$63,5,0),IF($Q45="上級",VLOOKUP($AZ45,参照データ!$B$46:$U$63,6,0),""))))</f>
        <v/>
      </c>
      <c r="BI45" s="242" t="str">
        <f>IF($R45="初級",VLOOKUP($AZ45,参照データ!$B$46:$U$63,7,0),IF($R45="中級",VLOOKUP($AZ45,参照データ!$B$46:$U$63,8,0),IF($R45="上級",VLOOKUP($AZ45,参照データ!$B$46:$U$63,9,0),"")))</f>
        <v/>
      </c>
      <c r="BJ45" s="242" t="str">
        <f>IF($S45="初級",VLOOKUP($AZ45,参照データ!$B$46:$U$63,10,0),IF($S45="上級",VLOOKUP($AZ45,参照データ!$B$46:$U$63,11,0),""))</f>
        <v/>
      </c>
      <c r="BK45" s="242" t="str">
        <f>IF($T45="初級",VLOOKUP($AZ45,参照データ!$B$46:$U$63,15,0),IF($T45="中級",VLOOKUP($AZ45,参照データ!$B$46:$U$63,16,0),IF($T45="上級",VLOOKUP($AZ45,参照データ!$B$46:$U$63,17,0),"")))</f>
        <v/>
      </c>
      <c r="BL45" s="242" t="str">
        <f>IF($U45="初級",VLOOKUP($AZ45,参照データ!$B$46:$U$63,12,0),IF($U45="中級",VLOOKUP($AZ45,参照データ!$B$46:$U$63,13,0),IF($U45="上級",VLOOKUP($AZ45,参照データ!$B$46:$U$63,14,0),"")))</f>
        <v/>
      </c>
      <c r="BM45" s="21" t="str">
        <f t="shared" si="19"/>
        <v/>
      </c>
      <c r="BN45" s="21" t="str">
        <f>IF($V45="初級",VLOOKUP($AZ45,参照データ!$B$46:$U$63,18,0),IF($V45="中級",VLOOKUP($AZ45,参照データ!$B$46:$U$63,19,0),IF($V45="上級",VLOOKUP($AZ45,参照データ!$B$46:$U$63,20,0),"")))</f>
        <v/>
      </c>
      <c r="BO45" s="604">
        <v>17</v>
      </c>
      <c r="BP45" s="255" t="s">
        <v>272</v>
      </c>
      <c r="BQ45" s="251" t="str">
        <f t="shared" ref="BQ45:BQ72" si="73">IF(COUNTIF($BM$13:$BN$72,$BP45)&gt;=1,VLOOKUP($BP45,$BM$13:$BN$72,2,0),"")</f>
        <v/>
      </c>
      <c r="BR45" s="594" t="str">
        <f>IF(OR($BQ45="",$BQ46=""),"",IF($BQ45&gt;$BQ46,$BQ45,$BQ46))</f>
        <v/>
      </c>
      <c r="BT45" s="241" t="e">
        <f t="shared" si="3"/>
        <v>#VALUE!</v>
      </c>
      <c r="BU45" s="245" t="str">
        <f>IF($X45="○",VLOOKUP($BT45,参照データ!$D$89:$F$100,3,0),"")</f>
        <v/>
      </c>
      <c r="BV45" s="246" t="str">
        <f t="shared" ref="BV45:BV72" si="74">IF($BU45="","",IF($F45="","S","MS"))</f>
        <v/>
      </c>
      <c r="BW45" s="245" t="str">
        <f>IF($Z45="○",VLOOKUP($BT45,参照データ!$D$89:$J$100,7,0),"")</f>
        <v/>
      </c>
      <c r="BX45" s="246" t="str">
        <f t="shared" ref="BX45:BX72" si="75">IF($BW45="","",IF($F45="","2B","M2B"))</f>
        <v/>
      </c>
      <c r="BY45" s="245" t="str">
        <f>IF($AB45="○",VLOOKUP($BT45,参照データ!$D$89:$N$100,11,0),"")</f>
        <v/>
      </c>
      <c r="BZ45" s="246" t="str">
        <f t="shared" ref="BZ45:BZ72" si="76">IF($BY45="","",IF($F45="","3B","M3B"))</f>
        <v/>
      </c>
      <c r="CA45" s="245" t="str">
        <f>IF($AD45="○",VLOOKUP($BT45,参照データ!$D$89:$T$100,17,0),"")</f>
        <v/>
      </c>
      <c r="CB45" s="246" t="str">
        <f t="shared" si="21"/>
        <v/>
      </c>
      <c r="CC45" s="245" t="str">
        <f>IF($AF45="○",VLOOKUP($BT45,参照データ!$D$89:$T$100,16,0),"")</f>
        <v/>
      </c>
      <c r="CD45" s="246" t="str">
        <f t="shared" si="22"/>
        <v/>
      </c>
      <c r="CE45" s="25">
        <f t="shared" si="23"/>
        <v>0</v>
      </c>
      <c r="CF45" s="312" t="e">
        <f t="shared" ref="CF45:CF72" si="77">VLOOKUP($CE45,$CI:$CM,5,0)</f>
        <v>#N/A</v>
      </c>
      <c r="CG45" s="300" t="str">
        <f t="shared" si="24"/>
        <v/>
      </c>
      <c r="CH45" s="648">
        <v>17</v>
      </c>
      <c r="CI45" s="256" t="s">
        <v>127</v>
      </c>
      <c r="CJ45" s="257" t="e">
        <f t="shared" ref="CJ45:CJ72" si="78">VLOOKUP($CI45,$AH$13:$AX$72,17,0)</f>
        <v>#N/A</v>
      </c>
      <c r="CK45" s="257" t="e">
        <f>VLOOKUP(CJ45,参照データ!$D$89:$R$100,15,0)</f>
        <v>#N/A</v>
      </c>
      <c r="CL45" s="649" t="e">
        <f>IF(OR($CJ45="",$CJ46=""),"",IF($CJ45&gt;$CJ46,$CK45,$CK46))</f>
        <v>#N/A</v>
      </c>
      <c r="CM45" s="289" t="e">
        <f>INDEX(参照データ!$Q$89:$Q$100,MATCH($CL45,参照データ!$R$89:$R$100,0))</f>
        <v>#N/A</v>
      </c>
      <c r="CN45" s="290" t="str">
        <f>IF($AJ45="○",VLOOKUP($BT45,参照データ!$D$89:$V$100,19,0),"")</f>
        <v/>
      </c>
      <c r="CO45" s="246" t="str">
        <f t="shared" si="25"/>
        <v/>
      </c>
      <c r="CQ45" t="e">
        <f>IF(AND($AW45&gt;=参照データ!$C$132,$AW45&lt;=参照データ!$C$130),1,IF(AND($AW45&gt;=参照データ!$C$135,$AW45&lt;=参照データ!$C$133),2,IF(AND($AW45&gt;=参照データ!$C$138,$AW45&lt;=参照データ!$C$136),3,IF($AW45&lt;=参照データ!$C$139,4,0))))</f>
        <v>#VALUE!</v>
      </c>
      <c r="CR45" t="e">
        <f>IF($AV45="男子",VLOOKUP(CQ45,参照データ!$C$143:$D$150,2),CQ45)</f>
        <v>#VALUE!</v>
      </c>
      <c r="CS45" s="388" t="e">
        <f t="shared" si="26"/>
        <v>#VALUE!</v>
      </c>
      <c r="CT45" s="389" t="str">
        <f>IF($AM45="○",VLOOKUP($CS45,参照データ!$D$143:$F$150,3,0),"")</f>
        <v/>
      </c>
      <c r="CU45" s="390" t="str">
        <f t="shared" si="52"/>
        <v/>
      </c>
      <c r="CV45">
        <f t="shared" si="39"/>
        <v>0</v>
      </c>
      <c r="CW45" s="312" t="e">
        <f t="shared" ref="CW45:CW72" si="79">VLOOKUP($CV45,$CZ:$DD,5,0)</f>
        <v>#N/A</v>
      </c>
      <c r="CX45" s="391" t="str">
        <f t="shared" si="28"/>
        <v/>
      </c>
      <c r="CY45" s="724">
        <v>17</v>
      </c>
      <c r="CZ45" s="398" t="s">
        <v>127</v>
      </c>
      <c r="DA45" s="399" t="e">
        <f t="shared" si="40"/>
        <v>#N/A</v>
      </c>
      <c r="DB45" s="399" t="e">
        <f>VLOOKUP(DA45,参照データ!$D$143:$J$150,7,0)</f>
        <v>#N/A</v>
      </c>
      <c r="DC45" s="725" t="e">
        <f t="shared" ref="DC45" si="80">IF(OR($DA45="",$DA46=""),"",IF($DA45&gt;$DA46,$DB45,$DB46))</f>
        <v>#N/A</v>
      </c>
      <c r="DD45" s="400" t="e">
        <f>INDEX(参照データ!$I$143:$I$150,MATCH($DC45,参照データ!$J$143:$J$150,0))</f>
        <v>#N/A</v>
      </c>
      <c r="DF45" s="254">
        <f>(COUNTIF($J45:$O45,"&lt;&gt;"))*参照データ!$D$3</f>
        <v>0</v>
      </c>
      <c r="DG45" s="297">
        <f t="shared" si="29"/>
        <v>0</v>
      </c>
      <c r="DH45" s="157" cm="1">
        <f t="array" ref="DH45">(SUM(COUNTIF($Q45:$U45,{"入門","初級"}))*3000)+(SUM(COUNTIF($Q45:$U45,{"中級","上級"})*3500))</f>
        <v>0</v>
      </c>
      <c r="DI45" s="157">
        <f>IFERROR(VLOOKUP(V45,参照データ!$G$3:$I$6,3,0),0)</f>
        <v>0</v>
      </c>
      <c r="DJ45" s="469">
        <f t="shared" si="30"/>
        <v>0</v>
      </c>
      <c r="DK45" s="157">
        <f t="shared" si="31"/>
        <v>0</v>
      </c>
      <c r="DL45" s="157">
        <f t="shared" si="32"/>
        <v>0</v>
      </c>
      <c r="DM45" s="157">
        <f>(COUNTIF($AM45,"○"))*参照データ!$H$13</f>
        <v>0</v>
      </c>
      <c r="DN45" s="157">
        <f>(IF($AO45&gt;0,参照データ!$I$14,0))</f>
        <v>0</v>
      </c>
      <c r="DO45" s="249">
        <f t="array" ref="DO45">SUM(IF(ISERROR($DF45:$DN45),0,($DF45:$DN45)))</f>
        <v>0</v>
      </c>
      <c r="DP45" s="157"/>
      <c r="DQ45" s="157">
        <f t="shared" si="33"/>
        <v>0</v>
      </c>
      <c r="DR45" s="157">
        <f t="shared" si="34"/>
        <v>0</v>
      </c>
      <c r="DS45" s="157">
        <f t="shared" si="35"/>
        <v>0</v>
      </c>
      <c r="DT45" s="157">
        <f t="shared" si="36"/>
        <v>0</v>
      </c>
      <c r="DU45" s="157">
        <f t="shared" si="37"/>
        <v>0</v>
      </c>
      <c r="DV45" t="str">
        <f t="shared" ref="DV45:DV72" si="81">IF(DT45&gt;=2,BV45&amp;BX45&amp;BZ45&amp;CB45&amp;CD45&amp;CG45&amp;CO45,"")</f>
        <v/>
      </c>
    </row>
    <row r="46" spans="1:126" ht="18.75" customHeight="1" x14ac:dyDescent="0.2">
      <c r="A46">
        <v>34</v>
      </c>
      <c r="B46" s="183" t="str">
        <f>IF(D46="","",IF(D46="重複","",COUNTIF(B$13:$B45,"&gt;0")+1))</f>
        <v/>
      </c>
      <c r="C46" s="264"/>
      <c r="D46" s="134"/>
      <c r="E46" s="134"/>
      <c r="F46" s="135"/>
      <c r="G46" s="136"/>
      <c r="H46" s="169">
        <f t="shared" si="11"/>
        <v>0</v>
      </c>
      <c r="I46" s="170" t="str">
        <f t="shared" si="12"/>
        <v/>
      </c>
      <c r="J46" s="138"/>
      <c r="K46" s="138"/>
      <c r="L46" s="138"/>
      <c r="M46" s="139"/>
      <c r="N46" s="146"/>
      <c r="O46" s="141"/>
      <c r="P46" s="336"/>
      <c r="Q46" s="142"/>
      <c r="R46" s="143"/>
      <c r="S46" s="143"/>
      <c r="T46" s="144"/>
      <c r="U46" s="143"/>
      <c r="V46" s="267"/>
      <c r="W46" s="145"/>
      <c r="X46" s="269"/>
      <c r="Y46" s="148" t="str">
        <f>IF($X46="○",VLOOKUP($AY46,参照データ!$D$89:$E$100,2),"")</f>
        <v/>
      </c>
      <c r="Z46" s="271"/>
      <c r="AA46" s="148" t="str">
        <f>IF($Z46="○",VLOOKUP($AY46,参照データ!$D$89:$J$100,6),"")</f>
        <v/>
      </c>
      <c r="AB46" s="271"/>
      <c r="AC46" s="148" t="str">
        <f>IF($AB46="○",VLOOKUP($AY46,参照データ!$D$89:$N$100,10),"")</f>
        <v/>
      </c>
      <c r="AD46" s="271"/>
      <c r="AE46" s="148" t="str">
        <f>IF($AD46="○",VLOOKUP($AY46,参照データ!$D$89:$Q$100,14),"")</f>
        <v/>
      </c>
      <c r="AF46" s="271"/>
      <c r="AG46" s="148" t="str">
        <f>IF($AF46="○",VLOOKUP($AY46,参照データ!$D$89:$Q$100,14),"")</f>
        <v/>
      </c>
      <c r="AH46" s="266"/>
      <c r="AI46" s="370" t="str">
        <f t="shared" si="38"/>
        <v/>
      </c>
      <c r="AJ46" s="498"/>
      <c r="AK46" s="497" t="str">
        <f>IF($AJ46="○",VLOOKUP($AY46,参照データ!$D$89:$U$100,18),"")</f>
        <v/>
      </c>
      <c r="AL46" s="170" t="str">
        <f t="shared" si="13"/>
        <v/>
      </c>
      <c r="AM46" s="269"/>
      <c r="AN46" s="413" t="str">
        <f>IF($AM46="○",VLOOKUP($CR46,参照データ!$D$143:$E$150,2),"")</f>
        <v/>
      </c>
      <c r="AO46" s="416"/>
      <c r="AP46" s="366" t="str">
        <f t="shared" si="14"/>
        <v/>
      </c>
      <c r="AQ46" s="465"/>
      <c r="AR46" s="466"/>
      <c r="AU46" s="273" t="str">
        <f t="shared" ref="AU46:AU72" si="82">IF(D46="","",IF(D46="重複",G45,G46))</f>
        <v/>
      </c>
      <c r="AV46" s="274" t="str">
        <f t="shared" ref="AV46:AV72" si="83">IF(D46="","",IF(D46="重複",F45,F46))</f>
        <v/>
      </c>
      <c r="AW46" s="226" t="e">
        <f t="shared" si="17"/>
        <v>#VALUE!</v>
      </c>
      <c r="AX46" t="e">
        <f>IF(AND(AW46&gt;=参照データ!$C$71,AW46&lt;=参照データ!$C$69),1,IF(AND(AW46&gt;=参照データ!$C$74,AW46&lt;=参照データ!$C$72),2,IF(AND(AW46&gt;=参照データ!$C$77,AW46&lt;=参照データ!$C$75),3,IF(AND(AW46&gt;=参照データ!$C$80,AW46&lt;=参照データ!$C$78),4,IF(AND(AW46&gt;=参照データ!$C$83,AW46&lt;=参照データ!$C$81),5,IF(AW46&lt;=参照データ!$C$84,6,0))))))</f>
        <v>#VALUE!</v>
      </c>
      <c r="AY46" t="e">
        <f>IF(AV46="男子",VLOOKUP(AX46,参照データ!$C$95:$D$100,2),AX46)</f>
        <v>#VALUE!</v>
      </c>
      <c r="AZ46" s="241" t="str">
        <f t="shared" si="72"/>
        <v/>
      </c>
      <c r="BA46" s="219" t="str">
        <f>IF($J46="○",VLOOKUP($AZ46,参照データ!$B$24:$G$41,3,0),"")</f>
        <v/>
      </c>
      <c r="BB46" s="220" t="str">
        <f>IF($K46="○",VLOOKUP($AZ46,参照データ!$B$24:$G$41,4,0),"")</f>
        <v/>
      </c>
      <c r="BC46" s="220" t="str">
        <f>IF($L46="○",VLOOKUP($AZ46,参照データ!$B$24:$G$41,5,0),"")</f>
        <v/>
      </c>
      <c r="BD46" s="220" t="str">
        <f>IF($M46="○",VLOOKUP($AZ46,参照データ!$B$24:$G$41,6,0),"")</f>
        <v/>
      </c>
      <c r="BE46" s="220" t="str">
        <f>IF($N46="○",VLOOKUP($AZ46,参照データ!$B$24:$H$41,7,0),"")</f>
        <v/>
      </c>
      <c r="BF46" s="221" t="str">
        <f>IF($O46="○",VLOOKUP($AZ46,参照データ!$B$24:$I$41,8,0),"")</f>
        <v/>
      </c>
      <c r="BG46" s="344" t="str">
        <f t="shared" si="18"/>
        <v/>
      </c>
      <c r="BH46" s="242" t="str">
        <f>IF($Q46="入門",VLOOKUP($AZ46,参照データ!$B$46:$U$63,3,0),IF($Q46="初級",VLOOKUP($AZ46,参照データ!$B$46:$U$63,4,0),IF($Q46="中級",VLOOKUP($AZ46,参照データ!$B$46:$U$63,5,0),IF($Q46="上級",VLOOKUP($AZ46,参照データ!$B$46:$U$63,6,0),""))))</f>
        <v/>
      </c>
      <c r="BI46" s="242" t="str">
        <f>IF($R46="初級",VLOOKUP($AZ46,参照データ!$B$46:$U$63,7,0),IF($R46="中級",VLOOKUP($AZ46,参照データ!$B$46:$U$63,8,0),IF($R46="上級",VLOOKUP($AZ46,参照データ!$B$46:$U$63,9,0),"")))</f>
        <v/>
      </c>
      <c r="BJ46" s="242" t="str">
        <f>IF($S46="初級",VLOOKUP($AZ46,参照データ!$B$46:$U$63,10,0),IF($S46="上級",VLOOKUP($AZ46,参照データ!$B$46:$U$63,11,0),""))</f>
        <v/>
      </c>
      <c r="BK46" s="242" t="str">
        <f>IF($T46="初級",VLOOKUP($AZ46,参照データ!$B$46:$U$63,15,0),IF($T46="中級",VLOOKUP($AZ46,参照データ!$B$46:$U$63,16,0),IF($T46="上級",VLOOKUP($AZ46,参照データ!$B$46:$U$63,17,0),"")))</f>
        <v/>
      </c>
      <c r="BL46" s="242" t="str">
        <f>IF($U46="初級",VLOOKUP($AZ46,参照データ!$B$46:$U$63,12,0),IF($U46="中級",VLOOKUP($AZ46,参照データ!$B$46:$U$63,13,0),IF($U46="上級",VLOOKUP($AZ46,参照データ!$B$46:$U$63,14,0),"")))</f>
        <v/>
      </c>
      <c r="BM46" s="21" t="str">
        <f t="shared" si="19"/>
        <v/>
      </c>
      <c r="BN46" s="21" t="str">
        <f>IF($V46="初級",VLOOKUP($AZ46,参照データ!$B$46:$U$63,18,0),IF($V46="中級",VLOOKUP($AZ46,参照データ!$B$46:$U$63,19,0),IF($V46="上級",VLOOKUP($AZ46,参照データ!$B$46:$U$63,20,0),"")))</f>
        <v/>
      </c>
      <c r="BO46" s="587"/>
      <c r="BP46" s="250" t="s">
        <v>273</v>
      </c>
      <c r="BQ46" s="251" t="str">
        <f t="shared" si="73"/>
        <v/>
      </c>
      <c r="BR46" s="595"/>
      <c r="BT46" s="241" t="e">
        <f t="shared" si="3"/>
        <v>#VALUE!</v>
      </c>
      <c r="BU46" s="245" t="str">
        <f>IF($X46="○",VLOOKUP($BT46,参照データ!$D$89:$F$100,3,0),"")</f>
        <v/>
      </c>
      <c r="BV46" s="246" t="str">
        <f t="shared" si="74"/>
        <v/>
      </c>
      <c r="BW46" s="245" t="str">
        <f>IF($Z46="○",VLOOKUP($BT46,参照データ!$D$89:$J$100,7,0),"")</f>
        <v/>
      </c>
      <c r="BX46" s="246" t="str">
        <f t="shared" si="75"/>
        <v/>
      </c>
      <c r="BY46" s="245" t="str">
        <f>IF($AB46="○",VLOOKUP($BT46,参照データ!$D$89:$N$100,11,0),"")</f>
        <v/>
      </c>
      <c r="BZ46" s="246" t="str">
        <f t="shared" si="76"/>
        <v/>
      </c>
      <c r="CA46" s="245" t="str">
        <f>IF($AD46="○",VLOOKUP($BT46,参照データ!$D$89:$T$100,17,0),"")</f>
        <v/>
      </c>
      <c r="CB46" s="246" t="str">
        <f t="shared" si="21"/>
        <v/>
      </c>
      <c r="CC46" s="245" t="str">
        <f>IF($AF46="○",VLOOKUP($BT46,参照データ!$D$89:$T$100,16,0),"")</f>
        <v/>
      </c>
      <c r="CD46" s="246" t="str">
        <f t="shared" si="22"/>
        <v/>
      </c>
      <c r="CE46" s="25">
        <f t="shared" si="23"/>
        <v>0</v>
      </c>
      <c r="CF46" s="312" t="e">
        <f t="shared" si="77"/>
        <v>#N/A</v>
      </c>
      <c r="CG46" s="300" t="str">
        <f t="shared" si="24"/>
        <v/>
      </c>
      <c r="CH46" s="645"/>
      <c r="CI46" s="252" t="s">
        <v>128</v>
      </c>
      <c r="CJ46" s="253" t="e">
        <f t="shared" si="78"/>
        <v>#N/A</v>
      </c>
      <c r="CK46" s="253" t="e">
        <f>VLOOKUP(CJ46,参照データ!$D$89:$R$100,15,0)</f>
        <v>#N/A</v>
      </c>
      <c r="CL46" s="647"/>
      <c r="CM46" s="288" t="e">
        <f>CM45</f>
        <v>#N/A</v>
      </c>
      <c r="CN46" s="290" t="str">
        <f>IF($AJ46="○",VLOOKUP($BT46,参照データ!$D$89:$V$100,19,0),"")</f>
        <v/>
      </c>
      <c r="CO46" s="246" t="str">
        <f t="shared" si="25"/>
        <v/>
      </c>
      <c r="CQ46" t="e">
        <f>IF(AND($AW46&gt;=参照データ!$C$132,$AW46&lt;=参照データ!$C$130),1,IF(AND($AW46&gt;=参照データ!$C$135,$AW46&lt;=参照データ!$C$133),2,IF(AND($AW46&gt;=参照データ!$C$138,$AW46&lt;=参照データ!$C$136),3,IF($AW46&lt;=参照データ!$C$139,4,0))))</f>
        <v>#VALUE!</v>
      </c>
      <c r="CR46" t="e">
        <f>IF($AV46="男子",VLOOKUP(CQ46,参照データ!$C$143:$D$150,2),CQ46)</f>
        <v>#VALUE!</v>
      </c>
      <c r="CS46" s="388" t="e">
        <f t="shared" si="26"/>
        <v>#VALUE!</v>
      </c>
      <c r="CT46" s="389" t="str">
        <f>IF($AM46="○",VLOOKUP($CS46,参照データ!$D$143:$F$150,3,0),"")</f>
        <v/>
      </c>
      <c r="CU46" s="390" t="str">
        <f t="shared" si="52"/>
        <v/>
      </c>
      <c r="CV46">
        <f t="shared" si="39"/>
        <v>0</v>
      </c>
      <c r="CW46" s="312" t="e">
        <f t="shared" si="79"/>
        <v>#N/A</v>
      </c>
      <c r="CX46" s="391" t="str">
        <f t="shared" si="28"/>
        <v/>
      </c>
      <c r="CY46" s="721"/>
      <c r="CZ46" s="395" t="s">
        <v>128</v>
      </c>
      <c r="DA46" s="396" t="e">
        <f t="shared" si="40"/>
        <v>#N/A</v>
      </c>
      <c r="DB46" s="396" t="e">
        <f>VLOOKUP(DA46,参照データ!$D$143:$J$150,7,0)</f>
        <v>#N/A</v>
      </c>
      <c r="DC46" s="723"/>
      <c r="DD46" s="397" t="e">
        <f t="shared" ref="DD46" si="84">DD45</f>
        <v>#N/A</v>
      </c>
      <c r="DF46" s="254">
        <f>(COUNTIF($J46:$O46,"&lt;&gt;"))*参照データ!$D$3</f>
        <v>0</v>
      </c>
      <c r="DG46" s="297">
        <f t="shared" si="29"/>
        <v>0</v>
      </c>
      <c r="DH46" s="157" cm="1">
        <f t="array" ref="DH46">(SUM(COUNTIF($Q46:$U46,{"入門","初級"}))*3000)+(SUM(COUNTIF($Q46:$U46,{"中級","上級"})*3500))</f>
        <v>0</v>
      </c>
      <c r="DI46" s="157">
        <f>IFERROR(VLOOKUP(V46,参照データ!$G$3:$I$6,3,0),0)</f>
        <v>0</v>
      </c>
      <c r="DJ46" s="469">
        <f t="shared" si="30"/>
        <v>0</v>
      </c>
      <c r="DK46" s="157">
        <f t="shared" si="31"/>
        <v>0</v>
      </c>
      <c r="DL46" s="157">
        <f t="shared" si="32"/>
        <v>0</v>
      </c>
      <c r="DM46" s="157">
        <f>(COUNTIF($AM46,"○"))*参照データ!$H$13</f>
        <v>0</v>
      </c>
      <c r="DN46" s="157">
        <f>(IF($AO46&gt;0,参照データ!$I$14,0))</f>
        <v>0</v>
      </c>
      <c r="DO46" s="249">
        <f t="array" ref="DO46">SUM(IF(ISERROR($DF46:$DN46),0,($DF46:$DN46)))</f>
        <v>0</v>
      </c>
      <c r="DP46" s="157"/>
      <c r="DQ46" s="157">
        <f t="shared" si="33"/>
        <v>0</v>
      </c>
      <c r="DR46" s="157">
        <f t="shared" si="34"/>
        <v>0</v>
      </c>
      <c r="DS46" s="157">
        <f t="shared" si="35"/>
        <v>0</v>
      </c>
      <c r="DT46" s="157">
        <f t="shared" si="36"/>
        <v>0</v>
      </c>
      <c r="DU46" s="157">
        <f t="shared" si="37"/>
        <v>0</v>
      </c>
      <c r="DV46" t="str">
        <f t="shared" si="81"/>
        <v/>
      </c>
    </row>
    <row r="47" spans="1:126" ht="18.75" customHeight="1" x14ac:dyDescent="0.2">
      <c r="A47">
        <v>35</v>
      </c>
      <c r="B47" s="183" t="str">
        <f>IF(D47="","",IF(D47="重複","",COUNTIF(B$13:$B46,"&gt;0")+1))</f>
        <v/>
      </c>
      <c r="C47" s="264"/>
      <c r="D47" s="134"/>
      <c r="E47" s="134"/>
      <c r="F47" s="135"/>
      <c r="G47" s="136"/>
      <c r="H47" s="169">
        <f t="shared" si="11"/>
        <v>0</v>
      </c>
      <c r="I47" s="170" t="str">
        <f t="shared" si="12"/>
        <v/>
      </c>
      <c r="J47" s="138"/>
      <c r="K47" s="138"/>
      <c r="L47" s="138"/>
      <c r="M47" s="139"/>
      <c r="N47" s="146"/>
      <c r="O47" s="141"/>
      <c r="P47" s="336"/>
      <c r="Q47" s="142"/>
      <c r="R47" s="143"/>
      <c r="S47" s="143"/>
      <c r="T47" s="144"/>
      <c r="U47" s="143"/>
      <c r="V47" s="267"/>
      <c r="W47" s="145"/>
      <c r="X47" s="269"/>
      <c r="Y47" s="148" t="str">
        <f>IF($X47="○",VLOOKUP($AY47,参照データ!$D$89:$E$100,2),"")</f>
        <v/>
      </c>
      <c r="Z47" s="271"/>
      <c r="AA47" s="148" t="str">
        <f>IF($Z47="○",VLOOKUP($AY47,参照データ!$D$89:$J$100,6),"")</f>
        <v/>
      </c>
      <c r="AB47" s="271"/>
      <c r="AC47" s="148" t="str">
        <f>IF($AB47="○",VLOOKUP($AY47,参照データ!$D$89:$N$100,10),"")</f>
        <v/>
      </c>
      <c r="AD47" s="271"/>
      <c r="AE47" s="148" t="str">
        <f>IF($AD47="○",VLOOKUP($AY47,参照データ!$D$89:$Q$100,14),"")</f>
        <v/>
      </c>
      <c r="AF47" s="271"/>
      <c r="AG47" s="148" t="str">
        <f>IF($AF47="○",VLOOKUP($AY47,参照データ!$D$89:$Q$100,14),"")</f>
        <v/>
      </c>
      <c r="AH47" s="266"/>
      <c r="AI47" s="370" t="str">
        <f t="shared" si="38"/>
        <v/>
      </c>
      <c r="AJ47" s="498"/>
      <c r="AK47" s="497" t="str">
        <f>IF($AJ47="○",VLOOKUP($AY47,参照データ!$D$89:$U$100,18),"")</f>
        <v/>
      </c>
      <c r="AL47" s="170" t="str">
        <f t="shared" si="13"/>
        <v/>
      </c>
      <c r="AM47" s="269"/>
      <c r="AN47" s="413" t="str">
        <f>IF($AM47="○",VLOOKUP($CR47,参照データ!$D$143:$E$150,2),"")</f>
        <v/>
      </c>
      <c r="AO47" s="416"/>
      <c r="AP47" s="366" t="str">
        <f t="shared" si="14"/>
        <v/>
      </c>
      <c r="AQ47" s="465"/>
      <c r="AR47" s="466"/>
      <c r="AU47" s="273" t="str">
        <f t="shared" si="82"/>
        <v/>
      </c>
      <c r="AV47" s="274" t="str">
        <f t="shared" si="83"/>
        <v/>
      </c>
      <c r="AW47" s="226" t="e">
        <f t="shared" si="17"/>
        <v>#VALUE!</v>
      </c>
      <c r="AX47" t="e">
        <f>IF(AND(AW47&gt;=参照データ!$C$71,AW47&lt;=参照データ!$C$69),1,IF(AND(AW47&gt;=参照データ!$C$74,AW47&lt;=参照データ!$C$72),2,IF(AND(AW47&gt;=参照データ!$C$77,AW47&lt;=参照データ!$C$75),3,IF(AND(AW47&gt;=参照データ!$C$80,AW47&lt;=参照データ!$C$78),4,IF(AND(AW47&gt;=参照データ!$C$83,AW47&lt;=参照データ!$C$81),5,IF(AW47&lt;=参照データ!$C$84,6,0))))))</f>
        <v>#VALUE!</v>
      </c>
      <c r="AY47" t="e">
        <f>IF(AV47="男子",VLOOKUP(AX47,参照データ!$C$95:$D$100,2),AX47)</f>
        <v>#VALUE!</v>
      </c>
      <c r="AZ47" s="241" t="str">
        <f t="shared" si="72"/>
        <v/>
      </c>
      <c r="BA47" s="219" t="str">
        <f>IF($J47="○",VLOOKUP($AZ47,参照データ!$B$24:$G$41,3,0),"")</f>
        <v/>
      </c>
      <c r="BB47" s="220" t="str">
        <f>IF($K47="○",VLOOKUP($AZ47,参照データ!$B$24:$G$41,4,0),"")</f>
        <v/>
      </c>
      <c r="BC47" s="220" t="str">
        <f>IF($L47="○",VLOOKUP($AZ47,参照データ!$B$24:$G$41,5,0),"")</f>
        <v/>
      </c>
      <c r="BD47" s="220" t="str">
        <f>IF($M47="○",VLOOKUP($AZ47,参照データ!$B$24:$G$41,6,0),"")</f>
        <v/>
      </c>
      <c r="BE47" s="220" t="str">
        <f>IF($N47="○",VLOOKUP($AZ47,参照データ!$B$24:$H$41,7,0),"")</f>
        <v/>
      </c>
      <c r="BF47" s="221" t="str">
        <f>IF($O47="○",VLOOKUP($AZ47,参照データ!$B$24:$I$41,8,0),"")</f>
        <v/>
      </c>
      <c r="BG47" s="344" t="str">
        <f t="shared" si="18"/>
        <v/>
      </c>
      <c r="BH47" s="242" t="str">
        <f>IF($Q47="入門",VLOOKUP($AZ47,参照データ!$B$46:$U$63,3,0),IF($Q47="初級",VLOOKUP($AZ47,参照データ!$B$46:$U$63,4,0),IF($Q47="中級",VLOOKUP($AZ47,参照データ!$B$46:$U$63,5,0),IF($Q47="上級",VLOOKUP($AZ47,参照データ!$B$46:$U$63,6,0),""))))</f>
        <v/>
      </c>
      <c r="BI47" s="242" t="str">
        <f>IF($R47="初級",VLOOKUP($AZ47,参照データ!$B$46:$U$63,7,0),IF($R47="中級",VLOOKUP($AZ47,参照データ!$B$46:$U$63,8,0),IF($R47="上級",VLOOKUP($AZ47,参照データ!$B$46:$U$63,9,0),"")))</f>
        <v/>
      </c>
      <c r="BJ47" s="242" t="str">
        <f>IF($S47="初級",VLOOKUP($AZ47,参照データ!$B$46:$U$63,10,0),IF($S47="上級",VLOOKUP($AZ47,参照データ!$B$46:$U$63,11,0),""))</f>
        <v/>
      </c>
      <c r="BK47" s="242" t="str">
        <f>IF($T47="初級",VLOOKUP($AZ47,参照データ!$B$46:$U$63,15,0),IF($T47="中級",VLOOKUP($AZ47,参照データ!$B$46:$U$63,16,0),IF($T47="上級",VLOOKUP($AZ47,参照データ!$B$46:$U$63,17,0),"")))</f>
        <v/>
      </c>
      <c r="BL47" s="242" t="str">
        <f>IF($U47="初級",VLOOKUP($AZ47,参照データ!$B$46:$U$63,12,0),IF($U47="中級",VLOOKUP($AZ47,参照データ!$B$46:$U$63,13,0),IF($U47="上級",VLOOKUP($AZ47,参照データ!$B$46:$U$63,14,0),"")))</f>
        <v/>
      </c>
      <c r="BM47" s="21" t="str">
        <f t="shared" si="19"/>
        <v/>
      </c>
      <c r="BN47" s="21" t="str">
        <f>IF($V47="初級",VLOOKUP($AZ47,参照データ!$B$46:$U$63,18,0),IF($V47="中級",VLOOKUP($AZ47,参照データ!$B$46:$U$63,19,0),IF($V47="上級",VLOOKUP($AZ47,参照データ!$B$46:$U$63,20,0),"")))</f>
        <v/>
      </c>
      <c r="BO47" s="604">
        <v>18</v>
      </c>
      <c r="BP47" s="255" t="s">
        <v>274</v>
      </c>
      <c r="BQ47" s="251" t="str">
        <f t="shared" si="73"/>
        <v/>
      </c>
      <c r="BR47" s="594" t="str">
        <f>IF(OR($BQ47="",$BQ48=""),"",IF($BQ47&gt;$BQ48,$BQ47,$BQ48))</f>
        <v/>
      </c>
      <c r="BT47" s="241" t="e">
        <f t="shared" si="3"/>
        <v>#VALUE!</v>
      </c>
      <c r="BU47" s="245" t="str">
        <f>IF($X47="○",VLOOKUP($BT47,参照データ!$D$89:$F$100,3,0),"")</f>
        <v/>
      </c>
      <c r="BV47" s="246" t="str">
        <f t="shared" si="74"/>
        <v/>
      </c>
      <c r="BW47" s="245" t="str">
        <f>IF($Z47="○",VLOOKUP($BT47,参照データ!$D$89:$J$100,7,0),"")</f>
        <v/>
      </c>
      <c r="BX47" s="246" t="str">
        <f t="shared" si="75"/>
        <v/>
      </c>
      <c r="BY47" s="245" t="str">
        <f>IF($AB47="○",VLOOKUP($BT47,参照データ!$D$89:$N$100,11,0),"")</f>
        <v/>
      </c>
      <c r="BZ47" s="246" t="str">
        <f t="shared" si="76"/>
        <v/>
      </c>
      <c r="CA47" s="245" t="str">
        <f>IF($AD47="○",VLOOKUP($BT47,参照データ!$D$89:$T$100,17,0),"")</f>
        <v/>
      </c>
      <c r="CB47" s="246" t="str">
        <f t="shared" si="21"/>
        <v/>
      </c>
      <c r="CC47" s="245" t="str">
        <f>IF($AF47="○",VLOOKUP($BT47,参照データ!$D$89:$T$100,16,0),"")</f>
        <v/>
      </c>
      <c r="CD47" s="246" t="str">
        <f t="shared" si="22"/>
        <v/>
      </c>
      <c r="CE47" s="25">
        <f t="shared" si="23"/>
        <v>0</v>
      </c>
      <c r="CF47" s="312" t="e">
        <f t="shared" si="77"/>
        <v>#N/A</v>
      </c>
      <c r="CG47" s="300" t="str">
        <f t="shared" si="24"/>
        <v/>
      </c>
      <c r="CH47" s="648">
        <v>18</v>
      </c>
      <c r="CI47" s="256" t="s">
        <v>129</v>
      </c>
      <c r="CJ47" s="257" t="e">
        <f t="shared" si="78"/>
        <v>#N/A</v>
      </c>
      <c r="CK47" s="257" t="e">
        <f>VLOOKUP(CJ47,参照データ!$D$89:$R$100,15,0)</f>
        <v>#N/A</v>
      </c>
      <c r="CL47" s="649" t="e">
        <f>IF(OR($CJ47="",$CJ48=""),"",IF($CJ47&gt;$CJ48,$CK47,$CK48))</f>
        <v>#N/A</v>
      </c>
      <c r="CM47" s="289" t="e">
        <f>INDEX(参照データ!$Q$89:$Q$100,MATCH($CL47,参照データ!$R$89:$R$100,0))</f>
        <v>#N/A</v>
      </c>
      <c r="CN47" s="290" t="str">
        <f>IF($AJ47="○",VLOOKUP($BT47,参照データ!$D$89:$V$100,19,0),"")</f>
        <v/>
      </c>
      <c r="CO47" s="246" t="str">
        <f t="shared" si="25"/>
        <v/>
      </c>
      <c r="CQ47" t="e">
        <f>IF(AND($AW47&gt;=参照データ!$C$132,$AW47&lt;=参照データ!$C$130),1,IF(AND($AW47&gt;=参照データ!$C$135,$AW47&lt;=参照データ!$C$133),2,IF(AND($AW47&gt;=参照データ!$C$138,$AW47&lt;=参照データ!$C$136),3,IF($AW47&lt;=参照データ!$C$139,4,0))))</f>
        <v>#VALUE!</v>
      </c>
      <c r="CR47" t="e">
        <f>IF($AV47="男子",VLOOKUP(CQ47,参照データ!$C$143:$D$150,2),CQ47)</f>
        <v>#VALUE!</v>
      </c>
      <c r="CS47" s="388" t="e">
        <f t="shared" si="26"/>
        <v>#VALUE!</v>
      </c>
      <c r="CT47" s="389" t="str">
        <f>IF($AM47="○",VLOOKUP($CS47,参照データ!$D$143:$F$150,3,0),"")</f>
        <v/>
      </c>
      <c r="CU47" s="390" t="str">
        <f t="shared" si="52"/>
        <v/>
      </c>
      <c r="CV47">
        <f t="shared" si="39"/>
        <v>0</v>
      </c>
      <c r="CW47" s="312" t="e">
        <f t="shared" si="79"/>
        <v>#N/A</v>
      </c>
      <c r="CX47" s="391" t="str">
        <f t="shared" si="28"/>
        <v/>
      </c>
      <c r="CY47" s="724">
        <v>18</v>
      </c>
      <c r="CZ47" s="398" t="s">
        <v>129</v>
      </c>
      <c r="DA47" s="399" t="e">
        <f t="shared" si="40"/>
        <v>#N/A</v>
      </c>
      <c r="DB47" s="399" t="e">
        <f>VLOOKUP(DA47,参照データ!$D$143:$J$150,7,0)</f>
        <v>#N/A</v>
      </c>
      <c r="DC47" s="725" t="e">
        <f t="shared" ref="DC47" si="85">IF(OR($DA47="",$DA48=""),"",IF($DA47&gt;$DA48,$DB47,$DB48))</f>
        <v>#N/A</v>
      </c>
      <c r="DD47" s="400" t="e">
        <f>INDEX(参照データ!$I$143:$I$150,MATCH($DC47,参照データ!$J$143:$J$150,0))</f>
        <v>#N/A</v>
      </c>
      <c r="DF47" s="254">
        <f>(COUNTIF($J47:$O47,"&lt;&gt;"))*参照データ!$D$3</f>
        <v>0</v>
      </c>
      <c r="DG47" s="297">
        <f t="shared" si="29"/>
        <v>0</v>
      </c>
      <c r="DH47" s="157" cm="1">
        <f t="array" ref="DH47">(SUM(COUNTIF($Q47:$U47,{"入門","初級"}))*3000)+(SUM(COUNTIF($Q47:$U47,{"中級","上級"})*3500))</f>
        <v>0</v>
      </c>
      <c r="DI47" s="157">
        <f>IFERROR(VLOOKUP(V47,参照データ!$G$3:$I$6,3,0),0)</f>
        <v>0</v>
      </c>
      <c r="DJ47" s="469">
        <f t="shared" si="30"/>
        <v>0</v>
      </c>
      <c r="DK47" s="157">
        <f t="shared" si="31"/>
        <v>0</v>
      </c>
      <c r="DL47" s="157">
        <f t="shared" si="32"/>
        <v>0</v>
      </c>
      <c r="DM47" s="157">
        <f>(COUNTIF($AM47,"○"))*参照データ!$H$13</f>
        <v>0</v>
      </c>
      <c r="DN47" s="157">
        <f>(IF($AO47&gt;0,参照データ!$I$14,0))</f>
        <v>0</v>
      </c>
      <c r="DO47" s="249">
        <f t="array" ref="DO47">SUM(IF(ISERROR($DF47:$DN47),0,($DF47:$DN47)))</f>
        <v>0</v>
      </c>
      <c r="DP47" s="157"/>
      <c r="DQ47" s="157">
        <f t="shared" si="33"/>
        <v>0</v>
      </c>
      <c r="DR47" s="157">
        <f t="shared" si="34"/>
        <v>0</v>
      </c>
      <c r="DS47" s="157">
        <f t="shared" si="35"/>
        <v>0</v>
      </c>
      <c r="DT47" s="157">
        <f t="shared" si="36"/>
        <v>0</v>
      </c>
      <c r="DU47" s="157">
        <f t="shared" si="37"/>
        <v>0</v>
      </c>
      <c r="DV47" t="str">
        <f t="shared" si="81"/>
        <v/>
      </c>
    </row>
    <row r="48" spans="1:126" ht="18.75" customHeight="1" x14ac:dyDescent="0.2">
      <c r="A48">
        <v>36</v>
      </c>
      <c r="B48" s="183" t="str">
        <f>IF(D48="","",IF(D48="重複","",COUNTIF(B$13:$B47,"&gt;0")+1))</f>
        <v/>
      </c>
      <c r="C48" s="264"/>
      <c r="D48" s="134"/>
      <c r="E48" s="134"/>
      <c r="F48" s="135"/>
      <c r="G48" s="136"/>
      <c r="H48" s="169">
        <f t="shared" si="11"/>
        <v>0</v>
      </c>
      <c r="I48" s="170" t="str">
        <f t="shared" si="12"/>
        <v/>
      </c>
      <c r="J48" s="138"/>
      <c r="K48" s="138"/>
      <c r="L48" s="138"/>
      <c r="M48" s="139"/>
      <c r="N48" s="146"/>
      <c r="O48" s="141"/>
      <c r="P48" s="336"/>
      <c r="Q48" s="142"/>
      <c r="R48" s="143"/>
      <c r="S48" s="143"/>
      <c r="T48" s="144"/>
      <c r="U48" s="143"/>
      <c r="V48" s="267"/>
      <c r="W48" s="145"/>
      <c r="X48" s="269"/>
      <c r="Y48" s="148" t="str">
        <f>IF($X48="○",VLOOKUP($AY48,参照データ!$D$89:$E$100,2),"")</f>
        <v/>
      </c>
      <c r="Z48" s="271"/>
      <c r="AA48" s="148" t="str">
        <f>IF($Z48="○",VLOOKUP($AY48,参照データ!$D$89:$J$100,6),"")</f>
        <v/>
      </c>
      <c r="AB48" s="271"/>
      <c r="AC48" s="148" t="str">
        <f>IF($AB48="○",VLOOKUP($AY48,参照データ!$D$89:$N$100,10),"")</f>
        <v/>
      </c>
      <c r="AD48" s="271"/>
      <c r="AE48" s="148" t="str">
        <f>IF($AD48="○",VLOOKUP($AY48,参照データ!$D$89:$Q$100,14),"")</f>
        <v/>
      </c>
      <c r="AF48" s="271"/>
      <c r="AG48" s="148" t="str">
        <f>IF($AF48="○",VLOOKUP($AY48,参照データ!$D$89:$Q$100,14),"")</f>
        <v/>
      </c>
      <c r="AH48" s="266"/>
      <c r="AI48" s="370" t="str">
        <f t="shared" si="38"/>
        <v/>
      </c>
      <c r="AJ48" s="498"/>
      <c r="AK48" s="497" t="str">
        <f>IF($AJ48="○",VLOOKUP($AY48,参照データ!$D$89:$U$100,18),"")</f>
        <v/>
      </c>
      <c r="AL48" s="170" t="str">
        <f t="shared" si="13"/>
        <v/>
      </c>
      <c r="AM48" s="269"/>
      <c r="AN48" s="413" t="str">
        <f>IF($AM48="○",VLOOKUP($CR48,参照データ!$D$143:$E$150,2),"")</f>
        <v/>
      </c>
      <c r="AO48" s="416"/>
      <c r="AP48" s="366" t="str">
        <f t="shared" si="14"/>
        <v/>
      </c>
      <c r="AQ48" s="465"/>
      <c r="AR48" s="466"/>
      <c r="AU48" s="273" t="str">
        <f t="shared" si="82"/>
        <v/>
      </c>
      <c r="AV48" s="274" t="str">
        <f t="shared" si="83"/>
        <v/>
      </c>
      <c r="AW48" s="226" t="e">
        <f t="shared" si="17"/>
        <v>#VALUE!</v>
      </c>
      <c r="AX48" t="e">
        <f>IF(AND(AW48&gt;=参照データ!$C$71,AW48&lt;=参照データ!$C$69),1,IF(AND(AW48&gt;=参照データ!$C$74,AW48&lt;=参照データ!$C$72),2,IF(AND(AW48&gt;=参照データ!$C$77,AW48&lt;=参照データ!$C$75),3,IF(AND(AW48&gt;=参照データ!$C$80,AW48&lt;=参照データ!$C$78),4,IF(AND(AW48&gt;=参照データ!$C$83,AW48&lt;=参照データ!$C$81),5,IF(AW48&lt;=参照データ!$C$84,6,0))))))</f>
        <v>#VALUE!</v>
      </c>
      <c r="AY48" t="e">
        <f>IF(AV48="男子",VLOOKUP(AX48,参照データ!$C$95:$D$100,2),AX48)</f>
        <v>#VALUE!</v>
      </c>
      <c r="AZ48" s="241" t="str">
        <f t="shared" si="72"/>
        <v/>
      </c>
      <c r="BA48" s="219" t="str">
        <f>IF($J48="○",VLOOKUP($AZ48,参照データ!$B$24:$G$41,3,0),"")</f>
        <v/>
      </c>
      <c r="BB48" s="220" t="str">
        <f>IF($K48="○",VLOOKUP($AZ48,参照データ!$B$24:$G$41,4,0),"")</f>
        <v/>
      </c>
      <c r="BC48" s="220" t="str">
        <f>IF($L48="○",VLOOKUP($AZ48,参照データ!$B$24:$G$41,5,0),"")</f>
        <v/>
      </c>
      <c r="BD48" s="220" t="str">
        <f>IF($M48="○",VLOOKUP($AZ48,参照データ!$B$24:$G$41,6,0),"")</f>
        <v/>
      </c>
      <c r="BE48" s="220" t="str">
        <f>IF($N48="○",VLOOKUP($AZ48,参照データ!$B$24:$H$41,7,0),"")</f>
        <v/>
      </c>
      <c r="BF48" s="221" t="str">
        <f>IF($O48="○",VLOOKUP($AZ48,参照データ!$B$24:$I$41,8,0),"")</f>
        <v/>
      </c>
      <c r="BG48" s="344" t="str">
        <f t="shared" si="18"/>
        <v/>
      </c>
      <c r="BH48" s="242" t="str">
        <f>IF($Q48="入門",VLOOKUP($AZ48,参照データ!$B$46:$U$63,3,0),IF($Q48="初級",VLOOKUP($AZ48,参照データ!$B$46:$U$63,4,0),IF($Q48="中級",VLOOKUP($AZ48,参照データ!$B$46:$U$63,5,0),IF($Q48="上級",VLOOKUP($AZ48,参照データ!$B$46:$U$63,6,0),""))))</f>
        <v/>
      </c>
      <c r="BI48" s="242" t="str">
        <f>IF($R48="初級",VLOOKUP($AZ48,参照データ!$B$46:$U$63,7,0),IF($R48="中級",VLOOKUP($AZ48,参照データ!$B$46:$U$63,8,0),IF($R48="上級",VLOOKUP($AZ48,参照データ!$B$46:$U$63,9,0),"")))</f>
        <v/>
      </c>
      <c r="BJ48" s="242" t="str">
        <f>IF($S48="初級",VLOOKUP($AZ48,参照データ!$B$46:$U$63,10,0),IF($S48="上級",VLOOKUP($AZ48,参照データ!$B$46:$U$63,11,0),""))</f>
        <v/>
      </c>
      <c r="BK48" s="242" t="str">
        <f>IF($T48="初級",VLOOKUP($AZ48,参照データ!$B$46:$U$63,15,0),IF($T48="中級",VLOOKUP($AZ48,参照データ!$B$46:$U$63,16,0),IF($T48="上級",VLOOKUP($AZ48,参照データ!$B$46:$U$63,17,0),"")))</f>
        <v/>
      </c>
      <c r="BL48" s="242" t="str">
        <f>IF($U48="初級",VLOOKUP($AZ48,参照データ!$B$46:$U$63,12,0),IF($U48="中級",VLOOKUP($AZ48,参照データ!$B$46:$U$63,13,0),IF($U48="上級",VLOOKUP($AZ48,参照データ!$B$46:$U$63,14,0),"")))</f>
        <v/>
      </c>
      <c r="BM48" s="21" t="str">
        <f t="shared" si="19"/>
        <v/>
      </c>
      <c r="BN48" s="21" t="str">
        <f>IF($V48="初級",VLOOKUP($AZ48,参照データ!$B$46:$U$63,18,0),IF($V48="中級",VLOOKUP($AZ48,参照データ!$B$46:$U$63,19,0),IF($V48="上級",VLOOKUP($AZ48,参照データ!$B$46:$U$63,20,0),"")))</f>
        <v/>
      </c>
      <c r="BO48" s="587"/>
      <c r="BP48" s="250" t="s">
        <v>275</v>
      </c>
      <c r="BQ48" s="251" t="str">
        <f t="shared" si="73"/>
        <v/>
      </c>
      <c r="BR48" s="595"/>
      <c r="BT48" s="241" t="e">
        <f t="shared" ref="BT48:BT72" si="86">$AY48</f>
        <v>#VALUE!</v>
      </c>
      <c r="BU48" s="245" t="str">
        <f>IF($X48="○",VLOOKUP($BT48,参照データ!$D$89:$F$100,3,0),"")</f>
        <v/>
      </c>
      <c r="BV48" s="246" t="str">
        <f t="shared" si="74"/>
        <v/>
      </c>
      <c r="BW48" s="245" t="str">
        <f>IF($Z48="○",VLOOKUP($BT48,参照データ!$D$89:$J$100,7,0),"")</f>
        <v/>
      </c>
      <c r="BX48" s="246" t="str">
        <f t="shared" si="75"/>
        <v/>
      </c>
      <c r="BY48" s="245" t="str">
        <f>IF($AB48="○",VLOOKUP($BT48,参照データ!$D$89:$N$100,11,0),"")</f>
        <v/>
      </c>
      <c r="BZ48" s="246" t="str">
        <f t="shared" si="76"/>
        <v/>
      </c>
      <c r="CA48" s="245" t="str">
        <f>IF($AD48="○",VLOOKUP($BT48,参照データ!$D$89:$T$100,17,0),"")</f>
        <v/>
      </c>
      <c r="CB48" s="246" t="str">
        <f t="shared" si="21"/>
        <v/>
      </c>
      <c r="CC48" s="245" t="str">
        <f>IF($AF48="○",VLOOKUP($BT48,参照データ!$D$89:$T$100,16,0),"")</f>
        <v/>
      </c>
      <c r="CD48" s="246" t="str">
        <f t="shared" si="22"/>
        <v/>
      </c>
      <c r="CE48" s="25">
        <f t="shared" si="23"/>
        <v>0</v>
      </c>
      <c r="CF48" s="312" t="e">
        <f t="shared" si="77"/>
        <v>#N/A</v>
      </c>
      <c r="CG48" s="300" t="str">
        <f t="shared" si="24"/>
        <v/>
      </c>
      <c r="CH48" s="645"/>
      <c r="CI48" s="252" t="s">
        <v>130</v>
      </c>
      <c r="CJ48" s="253" t="e">
        <f t="shared" si="78"/>
        <v>#N/A</v>
      </c>
      <c r="CK48" s="253" t="e">
        <f>VLOOKUP(CJ48,参照データ!$D$89:$R$100,15,0)</f>
        <v>#N/A</v>
      </c>
      <c r="CL48" s="647"/>
      <c r="CM48" s="288" t="e">
        <f>CM47</f>
        <v>#N/A</v>
      </c>
      <c r="CN48" s="290" t="str">
        <f>IF($AJ48="○",VLOOKUP($BT48,参照データ!$D$89:$V$100,19,0),"")</f>
        <v/>
      </c>
      <c r="CO48" s="246" t="str">
        <f t="shared" si="25"/>
        <v/>
      </c>
      <c r="CQ48" t="e">
        <f>IF(AND($AW48&gt;=参照データ!$C$132,$AW48&lt;=参照データ!$C$130),1,IF(AND($AW48&gt;=参照データ!$C$135,$AW48&lt;=参照データ!$C$133),2,IF(AND($AW48&gt;=参照データ!$C$138,$AW48&lt;=参照データ!$C$136),3,IF($AW48&lt;=参照データ!$C$139,4,0))))</f>
        <v>#VALUE!</v>
      </c>
      <c r="CR48" t="e">
        <f>IF($AV48="男子",VLOOKUP(CQ48,参照データ!$C$143:$D$150,2),CQ48)</f>
        <v>#VALUE!</v>
      </c>
      <c r="CS48" s="388" t="e">
        <f t="shared" si="26"/>
        <v>#VALUE!</v>
      </c>
      <c r="CT48" s="389" t="str">
        <f>IF($AM48="○",VLOOKUP($CS48,参照データ!$D$143:$F$150,3,0),"")</f>
        <v/>
      </c>
      <c r="CU48" s="390" t="str">
        <f t="shared" si="52"/>
        <v/>
      </c>
      <c r="CV48">
        <f t="shared" si="39"/>
        <v>0</v>
      </c>
      <c r="CW48" s="312" t="e">
        <f t="shared" si="79"/>
        <v>#N/A</v>
      </c>
      <c r="CX48" s="391" t="str">
        <f t="shared" si="28"/>
        <v/>
      </c>
      <c r="CY48" s="721"/>
      <c r="CZ48" s="395" t="s">
        <v>130</v>
      </c>
      <c r="DA48" s="396" t="e">
        <f t="shared" si="40"/>
        <v>#N/A</v>
      </c>
      <c r="DB48" s="396" t="e">
        <f>VLOOKUP(DA48,参照データ!$D$143:$J$150,7,0)</f>
        <v>#N/A</v>
      </c>
      <c r="DC48" s="723"/>
      <c r="DD48" s="397" t="e">
        <f t="shared" ref="DD48" si="87">DD47</f>
        <v>#N/A</v>
      </c>
      <c r="DF48" s="254">
        <f>(COUNTIF($J48:$O48,"&lt;&gt;"))*参照データ!$D$3</f>
        <v>0</v>
      </c>
      <c r="DG48" s="297">
        <f t="shared" si="29"/>
        <v>0</v>
      </c>
      <c r="DH48" s="157" cm="1">
        <f t="array" ref="DH48">(SUM(COUNTIF($Q48:$U48,{"入門","初級"}))*3000)+(SUM(COUNTIF($Q48:$U48,{"中級","上級"})*3500))</f>
        <v>0</v>
      </c>
      <c r="DI48" s="157">
        <f>IFERROR(VLOOKUP(V48,参照データ!$G$3:$I$6,3,0),0)</f>
        <v>0</v>
      </c>
      <c r="DJ48" s="469">
        <f t="shared" si="30"/>
        <v>0</v>
      </c>
      <c r="DK48" s="157">
        <f t="shared" si="31"/>
        <v>0</v>
      </c>
      <c r="DL48" s="157">
        <f t="shared" si="32"/>
        <v>0</v>
      </c>
      <c r="DM48" s="157">
        <f>(COUNTIF($AM48,"○"))*参照データ!$H$13</f>
        <v>0</v>
      </c>
      <c r="DN48" s="157">
        <f>(IF($AO48&gt;0,参照データ!$I$14,0))</f>
        <v>0</v>
      </c>
      <c r="DO48" s="249">
        <f t="array" ref="DO48">SUM(IF(ISERROR($DF48:$DN48),0,($DF48:$DN48)))</f>
        <v>0</v>
      </c>
      <c r="DP48" s="157"/>
      <c r="DQ48" s="157">
        <f t="shared" si="33"/>
        <v>0</v>
      </c>
      <c r="DR48" s="157">
        <f t="shared" si="34"/>
        <v>0</v>
      </c>
      <c r="DS48" s="157">
        <f t="shared" si="35"/>
        <v>0</v>
      </c>
      <c r="DT48" s="157">
        <f t="shared" si="36"/>
        <v>0</v>
      </c>
      <c r="DU48" s="157">
        <f t="shared" si="37"/>
        <v>0</v>
      </c>
      <c r="DV48" t="str">
        <f t="shared" si="81"/>
        <v/>
      </c>
    </row>
    <row r="49" spans="1:126" ht="18.75" customHeight="1" x14ac:dyDescent="0.2">
      <c r="A49">
        <v>37</v>
      </c>
      <c r="B49" s="183" t="str">
        <f>IF(D49="","",IF(D49="重複","",COUNTIF(B$13:$B48,"&gt;0")+1))</f>
        <v/>
      </c>
      <c r="C49" s="264"/>
      <c r="D49" s="134"/>
      <c r="E49" s="134"/>
      <c r="F49" s="135"/>
      <c r="G49" s="136"/>
      <c r="H49" s="169">
        <f t="shared" si="11"/>
        <v>0</v>
      </c>
      <c r="I49" s="170" t="str">
        <f t="shared" si="12"/>
        <v/>
      </c>
      <c r="J49" s="138"/>
      <c r="K49" s="138"/>
      <c r="L49" s="138"/>
      <c r="M49" s="139"/>
      <c r="N49" s="146"/>
      <c r="O49" s="141"/>
      <c r="P49" s="336"/>
      <c r="Q49" s="142"/>
      <c r="R49" s="143"/>
      <c r="S49" s="143"/>
      <c r="T49" s="144"/>
      <c r="U49" s="143"/>
      <c r="V49" s="267"/>
      <c r="W49" s="145"/>
      <c r="X49" s="269"/>
      <c r="Y49" s="148" t="str">
        <f>IF($X49="○",VLOOKUP($AY49,参照データ!$D$89:$E$100,2),"")</f>
        <v/>
      </c>
      <c r="Z49" s="271"/>
      <c r="AA49" s="148" t="str">
        <f>IF($Z49="○",VLOOKUP($AY49,参照データ!$D$89:$J$100,6),"")</f>
        <v/>
      </c>
      <c r="AB49" s="271"/>
      <c r="AC49" s="148" t="str">
        <f>IF($AB49="○",VLOOKUP($AY49,参照データ!$D$89:$N$100,10),"")</f>
        <v/>
      </c>
      <c r="AD49" s="271"/>
      <c r="AE49" s="148" t="str">
        <f>IF($AD49="○",VLOOKUP($AY49,参照データ!$D$89:$Q$100,14),"")</f>
        <v/>
      </c>
      <c r="AF49" s="271"/>
      <c r="AG49" s="148" t="str">
        <f>IF($AF49="○",VLOOKUP($AY49,参照データ!$D$89:$Q$100,14),"")</f>
        <v/>
      </c>
      <c r="AH49" s="266"/>
      <c r="AI49" s="370" t="str">
        <f t="shared" si="38"/>
        <v/>
      </c>
      <c r="AJ49" s="498"/>
      <c r="AK49" s="497" t="str">
        <f>IF($AJ49="○",VLOOKUP($AY49,参照データ!$D$89:$U$100,18),"")</f>
        <v/>
      </c>
      <c r="AL49" s="170" t="str">
        <f t="shared" si="13"/>
        <v/>
      </c>
      <c r="AM49" s="269"/>
      <c r="AN49" s="413" t="str">
        <f>IF($AM49="○",VLOOKUP($CR49,参照データ!$D$143:$E$150,2),"")</f>
        <v/>
      </c>
      <c r="AO49" s="416"/>
      <c r="AP49" s="366" t="str">
        <f t="shared" si="14"/>
        <v/>
      </c>
      <c r="AQ49" s="465"/>
      <c r="AR49" s="466"/>
      <c r="AU49" s="273" t="str">
        <f t="shared" si="82"/>
        <v/>
      </c>
      <c r="AV49" s="274" t="str">
        <f t="shared" si="83"/>
        <v/>
      </c>
      <c r="AW49" s="226" t="e">
        <f t="shared" si="17"/>
        <v>#VALUE!</v>
      </c>
      <c r="AX49" t="e">
        <f>IF(AND(AW49&gt;=参照データ!$C$71,AW49&lt;=参照データ!$C$69),1,IF(AND(AW49&gt;=参照データ!$C$74,AW49&lt;=参照データ!$C$72),2,IF(AND(AW49&gt;=参照データ!$C$77,AW49&lt;=参照データ!$C$75),3,IF(AND(AW49&gt;=参照データ!$C$80,AW49&lt;=参照データ!$C$78),4,IF(AND(AW49&gt;=参照データ!$C$83,AW49&lt;=参照データ!$C$81),5,IF(AW49&lt;=参照データ!$C$84,6,0))))))</f>
        <v>#VALUE!</v>
      </c>
      <c r="AY49" t="e">
        <f>IF(AV49="男子",VLOOKUP(AX49,参照データ!$C$95:$D$100,2),AX49)</f>
        <v>#VALUE!</v>
      </c>
      <c r="AZ49" s="241" t="str">
        <f t="shared" si="72"/>
        <v/>
      </c>
      <c r="BA49" s="219" t="str">
        <f>IF($J49="○",VLOOKUP($AZ49,参照データ!$B$24:$G$41,3,0),"")</f>
        <v/>
      </c>
      <c r="BB49" s="220" t="str">
        <f>IF($K49="○",VLOOKUP($AZ49,参照データ!$B$24:$G$41,4,0),"")</f>
        <v/>
      </c>
      <c r="BC49" s="220" t="str">
        <f>IF($L49="○",VLOOKUP($AZ49,参照データ!$B$24:$G$41,5,0),"")</f>
        <v/>
      </c>
      <c r="BD49" s="220" t="str">
        <f>IF($M49="○",VLOOKUP($AZ49,参照データ!$B$24:$G$41,6,0),"")</f>
        <v/>
      </c>
      <c r="BE49" s="220" t="str">
        <f>IF($N49="○",VLOOKUP($AZ49,参照データ!$B$24:$H$41,7,0),"")</f>
        <v/>
      </c>
      <c r="BF49" s="221" t="str">
        <f>IF($O49="○",VLOOKUP($AZ49,参照データ!$B$24:$I$41,8,0),"")</f>
        <v/>
      </c>
      <c r="BG49" s="344" t="str">
        <f t="shared" si="18"/>
        <v/>
      </c>
      <c r="BH49" s="242" t="str">
        <f>IF($Q49="入門",VLOOKUP($AZ49,参照データ!$B$46:$U$63,3,0),IF($Q49="初級",VLOOKUP($AZ49,参照データ!$B$46:$U$63,4,0),IF($Q49="中級",VLOOKUP($AZ49,参照データ!$B$46:$U$63,5,0),IF($Q49="上級",VLOOKUP($AZ49,参照データ!$B$46:$U$63,6,0),""))))</f>
        <v/>
      </c>
      <c r="BI49" s="242" t="str">
        <f>IF($R49="初級",VLOOKUP($AZ49,参照データ!$B$46:$U$63,7,0),IF($R49="中級",VLOOKUP($AZ49,参照データ!$B$46:$U$63,8,0),IF($R49="上級",VLOOKUP($AZ49,参照データ!$B$46:$U$63,9,0),"")))</f>
        <v/>
      </c>
      <c r="BJ49" s="242" t="str">
        <f>IF($S49="初級",VLOOKUP($AZ49,参照データ!$B$46:$U$63,10,0),IF($S49="上級",VLOOKUP($AZ49,参照データ!$B$46:$U$63,11,0),""))</f>
        <v/>
      </c>
      <c r="BK49" s="242" t="str">
        <f>IF($T49="初級",VLOOKUP($AZ49,参照データ!$B$46:$U$63,15,0),IF($T49="中級",VLOOKUP($AZ49,参照データ!$B$46:$U$63,16,0),IF($T49="上級",VLOOKUP($AZ49,参照データ!$B$46:$U$63,17,0),"")))</f>
        <v/>
      </c>
      <c r="BL49" s="242" t="str">
        <f>IF($U49="初級",VLOOKUP($AZ49,参照データ!$B$46:$U$63,12,0),IF($U49="中級",VLOOKUP($AZ49,参照データ!$B$46:$U$63,13,0),IF($U49="上級",VLOOKUP($AZ49,参照データ!$B$46:$U$63,14,0),"")))</f>
        <v/>
      </c>
      <c r="BM49" s="21" t="str">
        <f t="shared" si="19"/>
        <v/>
      </c>
      <c r="BN49" s="21" t="str">
        <f>IF($V49="初級",VLOOKUP($AZ49,参照データ!$B$46:$U$63,18,0),IF($V49="中級",VLOOKUP($AZ49,参照データ!$B$46:$U$63,19,0),IF($V49="上級",VLOOKUP($AZ49,参照データ!$B$46:$U$63,20,0),"")))</f>
        <v/>
      </c>
      <c r="BO49" s="604">
        <v>19</v>
      </c>
      <c r="BP49" s="255" t="s">
        <v>276</v>
      </c>
      <c r="BQ49" s="251" t="str">
        <f t="shared" si="73"/>
        <v/>
      </c>
      <c r="BR49" s="594" t="str">
        <f>IF(OR($BQ49="",$BQ50=""),"",IF($BQ49&gt;$BQ50,$BQ49,$BQ50))</f>
        <v/>
      </c>
      <c r="BT49" s="241" t="e">
        <f t="shared" si="86"/>
        <v>#VALUE!</v>
      </c>
      <c r="BU49" s="245" t="str">
        <f>IF($X49="○",VLOOKUP($BT49,参照データ!$D$89:$F$100,3,0),"")</f>
        <v/>
      </c>
      <c r="BV49" s="246" t="str">
        <f t="shared" si="74"/>
        <v/>
      </c>
      <c r="BW49" s="245" t="str">
        <f>IF($Z49="○",VLOOKUP($BT49,参照データ!$D$89:$J$100,7,0),"")</f>
        <v/>
      </c>
      <c r="BX49" s="246" t="str">
        <f t="shared" si="75"/>
        <v/>
      </c>
      <c r="BY49" s="245" t="str">
        <f>IF($AB49="○",VLOOKUP($BT49,参照データ!$D$89:$N$100,11,0),"")</f>
        <v/>
      </c>
      <c r="BZ49" s="246" t="str">
        <f t="shared" si="76"/>
        <v/>
      </c>
      <c r="CA49" s="245" t="str">
        <f>IF($AD49="○",VLOOKUP($BT49,参照データ!$D$89:$T$100,17,0),"")</f>
        <v/>
      </c>
      <c r="CB49" s="246" t="str">
        <f t="shared" si="21"/>
        <v/>
      </c>
      <c r="CC49" s="245" t="str">
        <f>IF($AF49="○",VLOOKUP($BT49,参照データ!$D$89:$T$100,16,0),"")</f>
        <v/>
      </c>
      <c r="CD49" s="246" t="str">
        <f t="shared" si="22"/>
        <v/>
      </c>
      <c r="CE49" s="25">
        <f t="shared" si="23"/>
        <v>0</v>
      </c>
      <c r="CF49" s="312" t="e">
        <f t="shared" si="77"/>
        <v>#N/A</v>
      </c>
      <c r="CG49" s="300" t="str">
        <f t="shared" si="24"/>
        <v/>
      </c>
      <c r="CH49" s="648">
        <v>19</v>
      </c>
      <c r="CI49" s="256" t="s">
        <v>131</v>
      </c>
      <c r="CJ49" s="257" t="e">
        <f t="shared" si="78"/>
        <v>#N/A</v>
      </c>
      <c r="CK49" s="257" t="e">
        <f>VLOOKUP(CJ49,参照データ!$D$89:$R$100,15,0)</f>
        <v>#N/A</v>
      </c>
      <c r="CL49" s="649" t="e">
        <f>IF(OR($CJ49="",$CJ50=""),"",IF($CJ49&gt;$CJ50,$CK49,$CK50))</f>
        <v>#N/A</v>
      </c>
      <c r="CM49" s="289" t="e">
        <f>INDEX(参照データ!$Q$89:$Q$100,MATCH($CL49,参照データ!$R$89:$R$100,0))</f>
        <v>#N/A</v>
      </c>
      <c r="CN49" s="290" t="str">
        <f>IF($AJ49="○",VLOOKUP($BT49,参照データ!$D$89:$V$100,19,0),"")</f>
        <v/>
      </c>
      <c r="CO49" s="246" t="str">
        <f t="shared" si="25"/>
        <v/>
      </c>
      <c r="CQ49" t="e">
        <f>IF(AND($AW49&gt;=参照データ!$C$132,$AW49&lt;=参照データ!$C$130),1,IF(AND($AW49&gt;=参照データ!$C$135,$AW49&lt;=参照データ!$C$133),2,IF(AND($AW49&gt;=参照データ!$C$138,$AW49&lt;=参照データ!$C$136),3,IF($AW49&lt;=参照データ!$C$139,4,0))))</f>
        <v>#VALUE!</v>
      </c>
      <c r="CR49" t="e">
        <f>IF($AV49="男子",VLOOKUP(CQ49,参照データ!$C$143:$D$150,2),CQ49)</f>
        <v>#VALUE!</v>
      </c>
      <c r="CS49" s="388" t="e">
        <f t="shared" si="26"/>
        <v>#VALUE!</v>
      </c>
      <c r="CT49" s="389" t="str">
        <f>IF($AM49="○",VLOOKUP($CS49,参照データ!$D$143:$F$150,3,0),"")</f>
        <v/>
      </c>
      <c r="CU49" s="390" t="str">
        <f t="shared" si="52"/>
        <v/>
      </c>
      <c r="CV49">
        <f t="shared" si="39"/>
        <v>0</v>
      </c>
      <c r="CW49" s="312" t="e">
        <f t="shared" si="79"/>
        <v>#N/A</v>
      </c>
      <c r="CX49" s="391" t="str">
        <f t="shared" si="28"/>
        <v/>
      </c>
      <c r="CY49" s="724">
        <v>19</v>
      </c>
      <c r="CZ49" s="398" t="s">
        <v>131</v>
      </c>
      <c r="DA49" s="399" t="e">
        <f t="shared" si="40"/>
        <v>#N/A</v>
      </c>
      <c r="DB49" s="399" t="e">
        <f>VLOOKUP(DA49,参照データ!$D$143:$J$150,7,0)</f>
        <v>#N/A</v>
      </c>
      <c r="DC49" s="725" t="e">
        <f t="shared" ref="DC49" si="88">IF(OR($DA49="",$DA50=""),"",IF($DA49&gt;$DA50,$DB49,$DB50))</f>
        <v>#N/A</v>
      </c>
      <c r="DD49" s="400" t="e">
        <f>INDEX(参照データ!$I$143:$I$150,MATCH($DC49,参照データ!$J$143:$J$150,0))</f>
        <v>#N/A</v>
      </c>
      <c r="DF49" s="254">
        <f>(COUNTIF($J49:$O49,"&lt;&gt;"))*参照データ!$D$3</f>
        <v>0</v>
      </c>
      <c r="DG49" s="297">
        <f t="shared" si="29"/>
        <v>0</v>
      </c>
      <c r="DH49" s="157" cm="1">
        <f t="array" ref="DH49">(SUM(COUNTIF($Q49:$U49,{"入門","初級"}))*3000)+(SUM(COUNTIF($Q49:$U49,{"中級","上級"})*3500))</f>
        <v>0</v>
      </c>
      <c r="DI49" s="157">
        <f>IFERROR(VLOOKUP(V49,参照データ!$G$3:$I$6,3,0),0)</f>
        <v>0</v>
      </c>
      <c r="DJ49" s="469">
        <f t="shared" si="30"/>
        <v>0</v>
      </c>
      <c r="DK49" s="157">
        <f t="shared" si="31"/>
        <v>0</v>
      </c>
      <c r="DL49" s="157">
        <f t="shared" si="32"/>
        <v>0</v>
      </c>
      <c r="DM49" s="157">
        <f>(COUNTIF($AM49,"○"))*参照データ!$H$13</f>
        <v>0</v>
      </c>
      <c r="DN49" s="157">
        <f>(IF($AO49&gt;0,参照データ!$I$14,0))</f>
        <v>0</v>
      </c>
      <c r="DO49" s="249">
        <f t="array" ref="DO49">SUM(IF(ISERROR($DF49:$DN49),0,($DF49:$DN49)))</f>
        <v>0</v>
      </c>
      <c r="DP49" s="157"/>
      <c r="DQ49" s="157">
        <f t="shared" si="33"/>
        <v>0</v>
      </c>
      <c r="DR49" s="157">
        <f t="shared" si="34"/>
        <v>0</v>
      </c>
      <c r="DS49" s="157">
        <f t="shared" si="35"/>
        <v>0</v>
      </c>
      <c r="DT49" s="157">
        <f t="shared" si="36"/>
        <v>0</v>
      </c>
      <c r="DU49" s="157">
        <f t="shared" si="37"/>
        <v>0</v>
      </c>
      <c r="DV49" t="str">
        <f t="shared" si="81"/>
        <v/>
      </c>
    </row>
    <row r="50" spans="1:126" ht="18.75" customHeight="1" x14ac:dyDescent="0.2">
      <c r="A50">
        <v>38</v>
      </c>
      <c r="B50" s="183" t="str">
        <f>IF(D50="","",IF(D50="重複","",COUNTIF(B$13:$B49,"&gt;0")+1))</f>
        <v/>
      </c>
      <c r="C50" s="264"/>
      <c r="D50" s="134"/>
      <c r="E50" s="134"/>
      <c r="F50" s="135"/>
      <c r="G50" s="136"/>
      <c r="H50" s="169">
        <f t="shared" si="11"/>
        <v>0</v>
      </c>
      <c r="I50" s="170" t="str">
        <f t="shared" si="12"/>
        <v/>
      </c>
      <c r="J50" s="138"/>
      <c r="K50" s="138"/>
      <c r="L50" s="138"/>
      <c r="M50" s="139"/>
      <c r="N50" s="146"/>
      <c r="O50" s="141"/>
      <c r="P50" s="336"/>
      <c r="Q50" s="142"/>
      <c r="R50" s="143"/>
      <c r="S50" s="143"/>
      <c r="T50" s="144"/>
      <c r="U50" s="143"/>
      <c r="V50" s="267"/>
      <c r="W50" s="145"/>
      <c r="X50" s="269"/>
      <c r="Y50" s="148" t="str">
        <f>IF($X50="○",VLOOKUP($AY50,参照データ!$D$89:$E$100,2),"")</f>
        <v/>
      </c>
      <c r="Z50" s="271"/>
      <c r="AA50" s="148" t="str">
        <f>IF($Z50="○",VLOOKUP($AY50,参照データ!$D$89:$J$100,6),"")</f>
        <v/>
      </c>
      <c r="AB50" s="271"/>
      <c r="AC50" s="148" t="str">
        <f>IF($AB50="○",VLOOKUP($AY50,参照データ!$D$89:$N$100,10),"")</f>
        <v/>
      </c>
      <c r="AD50" s="271"/>
      <c r="AE50" s="148" t="str">
        <f>IF($AD50="○",VLOOKUP($AY50,参照データ!$D$89:$Q$100,14),"")</f>
        <v/>
      </c>
      <c r="AF50" s="271"/>
      <c r="AG50" s="148" t="str">
        <f>IF($AF50="○",VLOOKUP($AY50,参照データ!$D$89:$Q$100,14),"")</f>
        <v/>
      </c>
      <c r="AH50" s="266"/>
      <c r="AI50" s="370" t="str">
        <f t="shared" si="38"/>
        <v/>
      </c>
      <c r="AJ50" s="498"/>
      <c r="AK50" s="497" t="str">
        <f>IF($AJ50="○",VLOOKUP($AY50,参照データ!$D$89:$U$100,18),"")</f>
        <v/>
      </c>
      <c r="AL50" s="170" t="str">
        <f t="shared" si="13"/>
        <v/>
      </c>
      <c r="AM50" s="269"/>
      <c r="AN50" s="413" t="str">
        <f>IF($AM50="○",VLOOKUP($CR50,参照データ!$D$143:$E$150,2),"")</f>
        <v/>
      </c>
      <c r="AO50" s="416"/>
      <c r="AP50" s="366" t="str">
        <f t="shared" si="14"/>
        <v/>
      </c>
      <c r="AQ50" s="465"/>
      <c r="AR50" s="466"/>
      <c r="AU50" s="273" t="str">
        <f t="shared" si="82"/>
        <v/>
      </c>
      <c r="AV50" s="274" t="str">
        <f t="shared" si="83"/>
        <v/>
      </c>
      <c r="AW50" s="226" t="e">
        <f t="shared" si="17"/>
        <v>#VALUE!</v>
      </c>
      <c r="AX50" t="e">
        <f>IF(AND(AW50&gt;=参照データ!$C$71,AW50&lt;=参照データ!$C$69),1,IF(AND(AW50&gt;=参照データ!$C$74,AW50&lt;=参照データ!$C$72),2,IF(AND(AW50&gt;=参照データ!$C$77,AW50&lt;=参照データ!$C$75),3,IF(AND(AW50&gt;=参照データ!$C$80,AW50&lt;=参照データ!$C$78),4,IF(AND(AW50&gt;=参照データ!$C$83,AW50&lt;=参照データ!$C$81),5,IF(AW50&lt;=参照データ!$C$84,6,0))))))</f>
        <v>#VALUE!</v>
      </c>
      <c r="AY50" t="e">
        <f>IF(AV50="男子",VLOOKUP(AX50,参照データ!$C$95:$D$100,2),AX50)</f>
        <v>#VALUE!</v>
      </c>
      <c r="AZ50" s="241" t="str">
        <f t="shared" si="72"/>
        <v/>
      </c>
      <c r="BA50" s="219" t="str">
        <f>IF($J50="○",VLOOKUP($AZ50,参照データ!$B$24:$G$41,3,0),"")</f>
        <v/>
      </c>
      <c r="BB50" s="220" t="str">
        <f>IF($K50="○",VLOOKUP($AZ50,参照データ!$B$24:$G$41,4,0),"")</f>
        <v/>
      </c>
      <c r="BC50" s="220" t="str">
        <f>IF($L50="○",VLOOKUP($AZ50,参照データ!$B$24:$G$41,5,0),"")</f>
        <v/>
      </c>
      <c r="BD50" s="220" t="str">
        <f>IF($M50="○",VLOOKUP($AZ50,参照データ!$B$24:$G$41,6,0),"")</f>
        <v/>
      </c>
      <c r="BE50" s="220" t="str">
        <f>IF($N50="○",VLOOKUP($AZ50,参照データ!$B$24:$H$41,7,0),"")</f>
        <v/>
      </c>
      <c r="BF50" s="221" t="str">
        <f>IF($O50="○",VLOOKUP($AZ50,参照データ!$B$24:$I$41,8,0),"")</f>
        <v/>
      </c>
      <c r="BG50" s="344" t="str">
        <f t="shared" si="18"/>
        <v/>
      </c>
      <c r="BH50" s="242" t="str">
        <f>IF($Q50="入門",VLOOKUP($AZ50,参照データ!$B$46:$U$63,3,0),IF($Q50="初級",VLOOKUP($AZ50,参照データ!$B$46:$U$63,4,0),IF($Q50="中級",VLOOKUP($AZ50,参照データ!$B$46:$U$63,5,0),IF($Q50="上級",VLOOKUP($AZ50,参照データ!$B$46:$U$63,6,0),""))))</f>
        <v/>
      </c>
      <c r="BI50" s="242" t="str">
        <f>IF($R50="初級",VLOOKUP($AZ50,参照データ!$B$46:$U$63,7,0),IF($R50="中級",VLOOKUP($AZ50,参照データ!$B$46:$U$63,8,0),IF($R50="上級",VLOOKUP($AZ50,参照データ!$B$46:$U$63,9,0),"")))</f>
        <v/>
      </c>
      <c r="BJ50" s="242" t="str">
        <f>IF($S50="初級",VLOOKUP($AZ50,参照データ!$B$46:$U$63,10,0),IF($S50="上級",VLOOKUP($AZ50,参照データ!$B$46:$U$63,11,0),""))</f>
        <v/>
      </c>
      <c r="BK50" s="242" t="str">
        <f>IF($T50="初級",VLOOKUP($AZ50,参照データ!$B$46:$U$63,15,0),IF($T50="中級",VLOOKUP($AZ50,参照データ!$B$46:$U$63,16,0),IF($T50="上級",VLOOKUP($AZ50,参照データ!$B$46:$U$63,17,0),"")))</f>
        <v/>
      </c>
      <c r="BL50" s="242" t="str">
        <f>IF($U50="初級",VLOOKUP($AZ50,参照データ!$B$46:$U$63,12,0),IF($U50="中級",VLOOKUP($AZ50,参照データ!$B$46:$U$63,13,0),IF($U50="上級",VLOOKUP($AZ50,参照データ!$B$46:$U$63,14,0),"")))</f>
        <v/>
      </c>
      <c r="BM50" s="21" t="str">
        <f t="shared" si="19"/>
        <v/>
      </c>
      <c r="BN50" s="21" t="str">
        <f>IF($V50="初級",VLOOKUP($AZ50,参照データ!$B$46:$U$63,18,0),IF($V50="中級",VLOOKUP($AZ50,参照データ!$B$46:$U$63,19,0),IF($V50="上級",VLOOKUP($AZ50,参照データ!$B$46:$U$63,20,0),"")))</f>
        <v/>
      </c>
      <c r="BO50" s="587"/>
      <c r="BP50" s="250" t="s">
        <v>277</v>
      </c>
      <c r="BQ50" s="251" t="str">
        <f t="shared" si="73"/>
        <v/>
      </c>
      <c r="BR50" s="595"/>
      <c r="BT50" s="241" t="e">
        <f t="shared" si="86"/>
        <v>#VALUE!</v>
      </c>
      <c r="BU50" s="245" t="str">
        <f>IF($X50="○",VLOOKUP($BT50,参照データ!$D$89:$F$100,3,0),"")</f>
        <v/>
      </c>
      <c r="BV50" s="246" t="str">
        <f t="shared" si="74"/>
        <v/>
      </c>
      <c r="BW50" s="245" t="str">
        <f>IF($Z50="○",VLOOKUP($BT50,参照データ!$D$89:$J$100,7,0),"")</f>
        <v/>
      </c>
      <c r="BX50" s="246" t="str">
        <f t="shared" si="75"/>
        <v/>
      </c>
      <c r="BY50" s="245" t="str">
        <f>IF($AB50="○",VLOOKUP($BT50,参照データ!$D$89:$N$100,11,0),"")</f>
        <v/>
      </c>
      <c r="BZ50" s="246" t="str">
        <f t="shared" si="76"/>
        <v/>
      </c>
      <c r="CA50" s="245" t="str">
        <f>IF($AD50="○",VLOOKUP($BT50,参照データ!$D$89:$T$100,17,0),"")</f>
        <v/>
      </c>
      <c r="CB50" s="246" t="str">
        <f t="shared" si="21"/>
        <v/>
      </c>
      <c r="CC50" s="245" t="str">
        <f>IF($AF50="○",VLOOKUP($BT50,参照データ!$D$89:$T$100,16,0),"")</f>
        <v/>
      </c>
      <c r="CD50" s="246" t="str">
        <f t="shared" si="22"/>
        <v/>
      </c>
      <c r="CE50" s="25">
        <f t="shared" si="23"/>
        <v>0</v>
      </c>
      <c r="CF50" s="312" t="e">
        <f t="shared" si="77"/>
        <v>#N/A</v>
      </c>
      <c r="CG50" s="300" t="str">
        <f t="shared" si="24"/>
        <v/>
      </c>
      <c r="CH50" s="645"/>
      <c r="CI50" s="252" t="s">
        <v>132</v>
      </c>
      <c r="CJ50" s="253" t="e">
        <f t="shared" si="78"/>
        <v>#N/A</v>
      </c>
      <c r="CK50" s="253" t="e">
        <f>VLOOKUP(CJ50,参照データ!$D$89:$R$100,15,0)</f>
        <v>#N/A</v>
      </c>
      <c r="CL50" s="647"/>
      <c r="CM50" s="288" t="e">
        <f>CM49</f>
        <v>#N/A</v>
      </c>
      <c r="CN50" s="290" t="str">
        <f>IF($AJ50="○",VLOOKUP($BT50,参照データ!$D$89:$V$100,19,0),"")</f>
        <v/>
      </c>
      <c r="CO50" s="246" t="str">
        <f t="shared" si="25"/>
        <v/>
      </c>
      <c r="CQ50" t="e">
        <f>IF(AND($AW50&gt;=参照データ!$C$132,$AW50&lt;=参照データ!$C$130),1,IF(AND($AW50&gt;=参照データ!$C$135,$AW50&lt;=参照データ!$C$133),2,IF(AND($AW50&gt;=参照データ!$C$138,$AW50&lt;=参照データ!$C$136),3,IF($AW50&lt;=参照データ!$C$139,4,0))))</f>
        <v>#VALUE!</v>
      </c>
      <c r="CR50" t="e">
        <f>IF($AV50="男子",VLOOKUP(CQ50,参照データ!$C$143:$D$150,2),CQ50)</f>
        <v>#VALUE!</v>
      </c>
      <c r="CS50" s="388" t="e">
        <f t="shared" si="26"/>
        <v>#VALUE!</v>
      </c>
      <c r="CT50" s="389" t="str">
        <f>IF($AM50="○",VLOOKUP($CS50,参照データ!$D$143:$F$150,3,0),"")</f>
        <v/>
      </c>
      <c r="CU50" s="390" t="str">
        <f t="shared" si="52"/>
        <v/>
      </c>
      <c r="CV50">
        <f t="shared" si="39"/>
        <v>0</v>
      </c>
      <c r="CW50" s="312" t="e">
        <f t="shared" si="79"/>
        <v>#N/A</v>
      </c>
      <c r="CX50" s="391" t="str">
        <f t="shared" si="28"/>
        <v/>
      </c>
      <c r="CY50" s="721"/>
      <c r="CZ50" s="395" t="s">
        <v>132</v>
      </c>
      <c r="DA50" s="396" t="e">
        <f t="shared" si="40"/>
        <v>#N/A</v>
      </c>
      <c r="DB50" s="396" t="e">
        <f>VLOOKUP(DA50,参照データ!$D$143:$J$150,7,0)</f>
        <v>#N/A</v>
      </c>
      <c r="DC50" s="723"/>
      <c r="DD50" s="397" t="e">
        <f t="shared" ref="DD50" si="89">DD49</f>
        <v>#N/A</v>
      </c>
      <c r="DF50" s="254">
        <f>(COUNTIF($J50:$O50,"&lt;&gt;"))*参照データ!$D$3</f>
        <v>0</v>
      </c>
      <c r="DG50" s="297">
        <f t="shared" si="29"/>
        <v>0</v>
      </c>
      <c r="DH50" s="157" cm="1">
        <f t="array" ref="DH50">(SUM(COUNTIF($Q50:$U50,{"入門","初級"}))*3000)+(SUM(COUNTIF($Q50:$U50,{"中級","上級"})*3500))</f>
        <v>0</v>
      </c>
      <c r="DI50" s="157">
        <f>IFERROR(VLOOKUP(V50,参照データ!$G$3:$I$6,3,0),0)</f>
        <v>0</v>
      </c>
      <c r="DJ50" s="469">
        <f t="shared" si="30"/>
        <v>0</v>
      </c>
      <c r="DK50" s="157">
        <f t="shared" si="31"/>
        <v>0</v>
      </c>
      <c r="DL50" s="157">
        <f t="shared" si="32"/>
        <v>0</v>
      </c>
      <c r="DM50" s="157">
        <f>(COUNTIF($AM50,"○"))*参照データ!$H$13</f>
        <v>0</v>
      </c>
      <c r="DN50" s="157">
        <f>(IF($AO50&gt;0,参照データ!$I$14,0))</f>
        <v>0</v>
      </c>
      <c r="DO50" s="249">
        <f t="array" ref="DO50">SUM(IF(ISERROR($DF50:$DN50),0,($DF50:$DN50)))</f>
        <v>0</v>
      </c>
      <c r="DP50" s="157"/>
      <c r="DQ50" s="157">
        <f t="shared" si="33"/>
        <v>0</v>
      </c>
      <c r="DR50" s="157">
        <f t="shared" si="34"/>
        <v>0</v>
      </c>
      <c r="DS50" s="157">
        <f t="shared" si="35"/>
        <v>0</v>
      </c>
      <c r="DT50" s="157">
        <f t="shared" si="36"/>
        <v>0</v>
      </c>
      <c r="DU50" s="157">
        <f t="shared" si="37"/>
        <v>0</v>
      </c>
      <c r="DV50" t="str">
        <f t="shared" si="81"/>
        <v/>
      </c>
    </row>
    <row r="51" spans="1:126" ht="18.75" customHeight="1" x14ac:dyDescent="0.2">
      <c r="A51">
        <v>39</v>
      </c>
      <c r="B51" s="183" t="str">
        <f>IF(D51="","",IF(D51="重複","",COUNTIF(B$13:$B50,"&gt;0")+1))</f>
        <v/>
      </c>
      <c r="C51" s="264"/>
      <c r="D51" s="134"/>
      <c r="E51" s="134"/>
      <c r="F51" s="135"/>
      <c r="G51" s="137"/>
      <c r="H51" s="169">
        <f t="shared" si="11"/>
        <v>0</v>
      </c>
      <c r="I51" s="170" t="str">
        <f t="shared" si="12"/>
        <v/>
      </c>
      <c r="J51" s="138"/>
      <c r="K51" s="138"/>
      <c r="L51" s="138"/>
      <c r="M51" s="139"/>
      <c r="N51" s="146"/>
      <c r="O51" s="141"/>
      <c r="P51" s="336"/>
      <c r="Q51" s="142"/>
      <c r="R51" s="143"/>
      <c r="S51" s="143"/>
      <c r="T51" s="144"/>
      <c r="U51" s="143"/>
      <c r="V51" s="267"/>
      <c r="W51" s="145"/>
      <c r="X51" s="269"/>
      <c r="Y51" s="148" t="str">
        <f>IF($X51="○",VLOOKUP($AY51,参照データ!$D$89:$E$100,2),"")</f>
        <v/>
      </c>
      <c r="Z51" s="271"/>
      <c r="AA51" s="148" t="str">
        <f>IF($Z51="○",VLOOKUP($AY51,参照データ!$D$89:$J$100,6),"")</f>
        <v/>
      </c>
      <c r="AB51" s="271"/>
      <c r="AC51" s="148" t="str">
        <f>IF($AB51="○",VLOOKUP($AY51,参照データ!$D$89:$N$100,10),"")</f>
        <v/>
      </c>
      <c r="AD51" s="271"/>
      <c r="AE51" s="148" t="str">
        <f>IF($AD51="○",VLOOKUP($AY51,参照データ!$D$89:$Q$100,14),"")</f>
        <v/>
      </c>
      <c r="AF51" s="271"/>
      <c r="AG51" s="148" t="str">
        <f>IF($AF51="○",VLOOKUP($AY51,参照データ!$D$89:$Q$100,14),"")</f>
        <v/>
      </c>
      <c r="AH51" s="266"/>
      <c r="AI51" s="370" t="str">
        <f t="shared" si="38"/>
        <v/>
      </c>
      <c r="AJ51" s="498"/>
      <c r="AK51" s="497" t="str">
        <f>IF($AJ51="○",VLOOKUP($AY51,参照データ!$D$89:$U$100,18),"")</f>
        <v/>
      </c>
      <c r="AL51" s="170" t="str">
        <f t="shared" si="13"/>
        <v/>
      </c>
      <c r="AM51" s="269"/>
      <c r="AN51" s="413" t="str">
        <f>IF($AM51="○",VLOOKUP($CR51,参照データ!$D$143:$E$150,2),"")</f>
        <v/>
      </c>
      <c r="AO51" s="416"/>
      <c r="AP51" s="366" t="str">
        <f t="shared" si="14"/>
        <v/>
      </c>
      <c r="AQ51" s="465"/>
      <c r="AR51" s="466"/>
      <c r="AU51" s="273" t="str">
        <f t="shared" si="82"/>
        <v/>
      </c>
      <c r="AV51" s="274" t="str">
        <f t="shared" si="83"/>
        <v/>
      </c>
      <c r="AW51" s="226" t="e">
        <f t="shared" si="17"/>
        <v>#VALUE!</v>
      </c>
      <c r="AX51" t="e">
        <f>IF(AND(AW51&gt;=参照データ!$C$71,AW51&lt;=参照データ!$C$69),1,IF(AND(AW51&gt;=参照データ!$C$74,AW51&lt;=参照データ!$C$72),2,IF(AND(AW51&gt;=参照データ!$C$77,AW51&lt;=参照データ!$C$75),3,IF(AND(AW51&gt;=参照データ!$C$80,AW51&lt;=参照データ!$C$78),4,IF(AND(AW51&gt;=参照データ!$C$83,AW51&lt;=参照データ!$C$81),5,IF(AW51&lt;=参照データ!$C$84,6,0))))))</f>
        <v>#VALUE!</v>
      </c>
      <c r="AY51" t="e">
        <f>IF(AV51="男子",VLOOKUP(AX51,参照データ!$C$95:$D$100,2),AX51)</f>
        <v>#VALUE!</v>
      </c>
      <c r="AZ51" s="241" t="str">
        <f t="shared" si="72"/>
        <v/>
      </c>
      <c r="BA51" s="219" t="str">
        <f>IF($J51="○",VLOOKUP($AZ51,参照データ!$B$24:$G$41,3,0),"")</f>
        <v/>
      </c>
      <c r="BB51" s="220" t="str">
        <f>IF($K51="○",VLOOKUP($AZ51,参照データ!$B$24:$G$41,4,0),"")</f>
        <v/>
      </c>
      <c r="BC51" s="220" t="str">
        <f>IF($L51="○",VLOOKUP($AZ51,参照データ!$B$24:$G$41,5,0),"")</f>
        <v/>
      </c>
      <c r="BD51" s="220" t="str">
        <f>IF($M51="○",VLOOKUP($AZ51,参照データ!$B$24:$G$41,6,0),"")</f>
        <v/>
      </c>
      <c r="BE51" s="220" t="str">
        <f>IF($N51="○",VLOOKUP($AZ51,参照データ!$B$24:$H$41,7,0),"")</f>
        <v/>
      </c>
      <c r="BF51" s="221" t="str">
        <f>IF($O51="○",VLOOKUP($AZ51,参照データ!$B$24:$I$41,8,0),"")</f>
        <v/>
      </c>
      <c r="BG51" s="344" t="str">
        <f t="shared" si="18"/>
        <v/>
      </c>
      <c r="BH51" s="242" t="str">
        <f>IF($Q51="入門",VLOOKUP($AZ51,参照データ!$B$46:$U$63,3,0),IF($Q51="初級",VLOOKUP($AZ51,参照データ!$B$46:$U$63,4,0),IF($Q51="中級",VLOOKUP($AZ51,参照データ!$B$46:$U$63,5,0),IF($Q51="上級",VLOOKUP($AZ51,参照データ!$B$46:$U$63,6,0),""))))</f>
        <v/>
      </c>
      <c r="BI51" s="242" t="str">
        <f>IF($R51="初級",VLOOKUP($AZ51,参照データ!$B$46:$U$63,7,0),IF($R51="中級",VLOOKUP($AZ51,参照データ!$B$46:$U$63,8,0),IF($R51="上級",VLOOKUP($AZ51,参照データ!$B$46:$U$63,9,0),"")))</f>
        <v/>
      </c>
      <c r="BJ51" s="242" t="str">
        <f>IF($S51="初級",VLOOKUP($AZ51,参照データ!$B$46:$U$63,10,0),IF($S51="上級",VLOOKUP($AZ51,参照データ!$B$46:$U$63,11,0),""))</f>
        <v/>
      </c>
      <c r="BK51" s="242" t="str">
        <f>IF($T51="初級",VLOOKUP($AZ51,参照データ!$B$46:$U$63,15,0),IF($T51="中級",VLOOKUP($AZ51,参照データ!$B$46:$U$63,16,0),IF($T51="上級",VLOOKUP($AZ51,参照データ!$B$46:$U$63,17,0),"")))</f>
        <v/>
      </c>
      <c r="BL51" s="242" t="str">
        <f>IF($U51="初級",VLOOKUP($AZ51,参照データ!$B$46:$U$63,12,0),IF($U51="中級",VLOOKUP($AZ51,参照データ!$B$46:$U$63,13,0),IF($U51="上級",VLOOKUP($AZ51,参照データ!$B$46:$U$63,14,0),"")))</f>
        <v/>
      </c>
      <c r="BM51" s="21" t="str">
        <f t="shared" si="19"/>
        <v/>
      </c>
      <c r="BN51" s="21" t="str">
        <f>IF($V51="初級",VLOOKUP($AZ51,参照データ!$B$46:$U$63,18,0),IF($V51="中級",VLOOKUP($AZ51,参照データ!$B$46:$U$63,19,0),IF($V51="上級",VLOOKUP($AZ51,参照データ!$B$46:$U$63,20,0),"")))</f>
        <v/>
      </c>
      <c r="BO51" s="604">
        <v>20</v>
      </c>
      <c r="BP51" s="255" t="s">
        <v>278</v>
      </c>
      <c r="BQ51" s="251" t="str">
        <f t="shared" si="73"/>
        <v/>
      </c>
      <c r="BR51" s="594" t="str">
        <f>IF(OR($BQ51="",$BQ52=""),"",IF($BQ51&gt;$BQ52,$BQ51,$BQ52))</f>
        <v/>
      </c>
      <c r="BT51" s="241" t="e">
        <f t="shared" si="86"/>
        <v>#VALUE!</v>
      </c>
      <c r="BU51" s="245" t="str">
        <f>IF($X51="○",VLOOKUP($BT51,参照データ!$D$89:$F$100,3,0),"")</f>
        <v/>
      </c>
      <c r="BV51" s="246" t="str">
        <f t="shared" si="74"/>
        <v/>
      </c>
      <c r="BW51" s="245" t="str">
        <f>IF($Z51="○",VLOOKUP($BT51,参照データ!$D$89:$J$100,7,0),"")</f>
        <v/>
      </c>
      <c r="BX51" s="246" t="str">
        <f t="shared" si="75"/>
        <v/>
      </c>
      <c r="BY51" s="245" t="str">
        <f>IF($AB51="○",VLOOKUP($BT51,参照データ!$D$89:$N$100,11,0),"")</f>
        <v/>
      </c>
      <c r="BZ51" s="246" t="str">
        <f t="shared" si="76"/>
        <v/>
      </c>
      <c r="CA51" s="245" t="str">
        <f>IF($AD51="○",VLOOKUP($BT51,参照データ!$D$89:$T$100,17,0),"")</f>
        <v/>
      </c>
      <c r="CB51" s="246" t="str">
        <f t="shared" si="21"/>
        <v/>
      </c>
      <c r="CC51" s="245" t="str">
        <f>IF($AF51="○",VLOOKUP($BT51,参照データ!$D$89:$T$100,16,0),"")</f>
        <v/>
      </c>
      <c r="CD51" s="246" t="str">
        <f t="shared" si="22"/>
        <v/>
      </c>
      <c r="CE51" s="25">
        <f t="shared" si="23"/>
        <v>0</v>
      </c>
      <c r="CF51" s="312" t="e">
        <f t="shared" si="77"/>
        <v>#N/A</v>
      </c>
      <c r="CG51" s="300" t="str">
        <f t="shared" si="24"/>
        <v/>
      </c>
      <c r="CH51" s="648">
        <v>20</v>
      </c>
      <c r="CI51" s="256" t="s">
        <v>133</v>
      </c>
      <c r="CJ51" s="257" t="e">
        <f t="shared" si="78"/>
        <v>#N/A</v>
      </c>
      <c r="CK51" s="257" t="e">
        <f>VLOOKUP(CJ51,参照データ!$D$89:$R$100,15,0)</f>
        <v>#N/A</v>
      </c>
      <c r="CL51" s="649" t="e">
        <f>IF(OR($CJ51="",$CJ52=""),"",IF($CJ51&gt;$CJ52,$CK51,$CK52))</f>
        <v>#N/A</v>
      </c>
      <c r="CM51" s="289" t="e">
        <f>INDEX(参照データ!$Q$89:$Q$100,MATCH($CL51,参照データ!$R$89:$R$100,0))</f>
        <v>#N/A</v>
      </c>
      <c r="CN51" s="290" t="str">
        <f>IF($AJ51="○",VLOOKUP($BT51,参照データ!$D$89:$V$100,19,0),"")</f>
        <v/>
      </c>
      <c r="CO51" s="246" t="str">
        <f t="shared" si="25"/>
        <v/>
      </c>
      <c r="CQ51" t="e">
        <f>IF(AND($AW51&gt;=参照データ!$C$132,$AW51&lt;=参照データ!$C$130),1,IF(AND($AW51&gt;=参照データ!$C$135,$AW51&lt;=参照データ!$C$133),2,IF(AND($AW51&gt;=参照データ!$C$138,$AW51&lt;=参照データ!$C$136),3,IF($AW51&lt;=参照データ!$C$139,4,0))))</f>
        <v>#VALUE!</v>
      </c>
      <c r="CR51" t="e">
        <f>IF($AV51="男子",VLOOKUP(CQ51,参照データ!$C$143:$D$150,2),CQ51)</f>
        <v>#VALUE!</v>
      </c>
      <c r="CS51" s="388" t="e">
        <f t="shared" si="26"/>
        <v>#VALUE!</v>
      </c>
      <c r="CT51" s="389" t="str">
        <f>IF($AM51="○",VLOOKUP($CS51,参照データ!$D$143:$F$150,3,0),"")</f>
        <v/>
      </c>
      <c r="CU51" s="390" t="str">
        <f t="shared" si="52"/>
        <v/>
      </c>
      <c r="CV51">
        <f t="shared" si="39"/>
        <v>0</v>
      </c>
      <c r="CW51" s="312" t="e">
        <f t="shared" si="79"/>
        <v>#N/A</v>
      </c>
      <c r="CX51" s="391" t="str">
        <f t="shared" si="28"/>
        <v/>
      </c>
      <c r="CY51" s="724">
        <v>20</v>
      </c>
      <c r="CZ51" s="398" t="s">
        <v>133</v>
      </c>
      <c r="DA51" s="399" t="e">
        <f t="shared" si="40"/>
        <v>#N/A</v>
      </c>
      <c r="DB51" s="399" t="e">
        <f>VLOOKUP(DA51,参照データ!$D$143:$J$150,7,0)</f>
        <v>#N/A</v>
      </c>
      <c r="DC51" s="725" t="e">
        <f t="shared" ref="DC51" si="90">IF(OR($DA51="",$DA52=""),"",IF($DA51&gt;$DA52,$DB51,$DB52))</f>
        <v>#N/A</v>
      </c>
      <c r="DD51" s="400" t="e">
        <f>INDEX(参照データ!$I$143:$I$150,MATCH($DC51,参照データ!$J$143:$J$150,0))</f>
        <v>#N/A</v>
      </c>
      <c r="DF51" s="254">
        <f>(COUNTIF($J51:$O51,"&lt;&gt;"))*参照データ!$D$3</f>
        <v>0</v>
      </c>
      <c r="DG51" s="297">
        <f t="shared" si="29"/>
        <v>0</v>
      </c>
      <c r="DH51" s="157" cm="1">
        <f t="array" ref="DH51">(SUM(COUNTIF($Q51:$U51,{"入門","初級"}))*3000)+(SUM(COUNTIF($Q51:$U51,{"中級","上級"})*3500))</f>
        <v>0</v>
      </c>
      <c r="DI51" s="157">
        <f>IFERROR(VLOOKUP(V51,参照データ!$G$3:$I$6,3,0),0)</f>
        <v>0</v>
      </c>
      <c r="DJ51" s="469">
        <f t="shared" si="30"/>
        <v>0</v>
      </c>
      <c r="DK51" s="157">
        <f t="shared" si="31"/>
        <v>0</v>
      </c>
      <c r="DL51" s="157">
        <f t="shared" si="32"/>
        <v>0</v>
      </c>
      <c r="DM51" s="157">
        <f>(COUNTIF($AM51,"○"))*参照データ!$H$13</f>
        <v>0</v>
      </c>
      <c r="DN51" s="157">
        <f>(IF($AO51&gt;0,参照データ!$I$14,0))</f>
        <v>0</v>
      </c>
      <c r="DO51" s="249">
        <f t="array" ref="DO51">SUM(IF(ISERROR($DF51:$DN51),0,($DF51:$DN51)))</f>
        <v>0</v>
      </c>
      <c r="DP51" s="157"/>
      <c r="DQ51" s="157">
        <f t="shared" si="33"/>
        <v>0</v>
      </c>
      <c r="DR51" s="157">
        <f t="shared" si="34"/>
        <v>0</v>
      </c>
      <c r="DS51" s="157">
        <f t="shared" si="35"/>
        <v>0</v>
      </c>
      <c r="DT51" s="157">
        <f t="shared" si="36"/>
        <v>0</v>
      </c>
      <c r="DU51" s="157">
        <f t="shared" si="37"/>
        <v>0</v>
      </c>
      <c r="DV51" t="str">
        <f t="shared" si="81"/>
        <v/>
      </c>
    </row>
    <row r="52" spans="1:126" ht="18.75" customHeight="1" x14ac:dyDescent="0.2">
      <c r="A52">
        <v>40</v>
      </c>
      <c r="B52" s="183" t="str">
        <f>IF(D52="","",IF(D52="重複","",COUNTIF(B$13:$B51,"&gt;0")+1))</f>
        <v/>
      </c>
      <c r="C52" s="264"/>
      <c r="D52" s="134"/>
      <c r="E52" s="134"/>
      <c r="F52" s="135"/>
      <c r="G52" s="136"/>
      <c r="H52" s="169">
        <f t="shared" si="11"/>
        <v>0</v>
      </c>
      <c r="I52" s="170" t="str">
        <f t="shared" si="12"/>
        <v/>
      </c>
      <c r="J52" s="138"/>
      <c r="K52" s="138"/>
      <c r="L52" s="138"/>
      <c r="M52" s="139"/>
      <c r="N52" s="146"/>
      <c r="O52" s="141"/>
      <c r="P52" s="336"/>
      <c r="Q52" s="142"/>
      <c r="R52" s="143"/>
      <c r="S52" s="143"/>
      <c r="T52" s="144"/>
      <c r="U52" s="143"/>
      <c r="V52" s="267"/>
      <c r="W52" s="145"/>
      <c r="X52" s="269"/>
      <c r="Y52" s="148" t="str">
        <f>IF($X52="○",VLOOKUP($AY52,参照データ!$D$89:$E$100,2),"")</f>
        <v/>
      </c>
      <c r="Z52" s="271"/>
      <c r="AA52" s="148" t="str">
        <f>IF($Z52="○",VLOOKUP($AY52,参照データ!$D$89:$J$100,6),"")</f>
        <v/>
      </c>
      <c r="AB52" s="271"/>
      <c r="AC52" s="148" t="str">
        <f>IF($AB52="○",VLOOKUP($AY52,参照データ!$D$89:$N$100,10),"")</f>
        <v/>
      </c>
      <c r="AD52" s="271"/>
      <c r="AE52" s="148" t="str">
        <f>IF($AD52="○",VLOOKUP($AY52,参照データ!$D$89:$Q$100,14),"")</f>
        <v/>
      </c>
      <c r="AF52" s="271"/>
      <c r="AG52" s="148" t="str">
        <f>IF($AF52="○",VLOOKUP($AY52,参照データ!$D$89:$Q$100,14),"")</f>
        <v/>
      </c>
      <c r="AH52" s="266"/>
      <c r="AI52" s="370" t="str">
        <f t="shared" si="38"/>
        <v/>
      </c>
      <c r="AJ52" s="498"/>
      <c r="AK52" s="497" t="str">
        <f>IF($AJ52="○",VLOOKUP($AY52,参照データ!$D$89:$U$100,18),"")</f>
        <v/>
      </c>
      <c r="AL52" s="170" t="str">
        <f t="shared" si="13"/>
        <v/>
      </c>
      <c r="AM52" s="269"/>
      <c r="AN52" s="413" t="str">
        <f>IF($AM52="○",VLOOKUP($CR52,参照データ!$D$143:$E$150,2),"")</f>
        <v/>
      </c>
      <c r="AO52" s="416"/>
      <c r="AP52" s="366" t="str">
        <f t="shared" si="14"/>
        <v/>
      </c>
      <c r="AQ52" s="465"/>
      <c r="AR52" s="466"/>
      <c r="AU52" s="273" t="str">
        <f t="shared" si="82"/>
        <v/>
      </c>
      <c r="AV52" s="274" t="str">
        <f t="shared" si="83"/>
        <v/>
      </c>
      <c r="AW52" s="226" t="e">
        <f t="shared" si="17"/>
        <v>#VALUE!</v>
      </c>
      <c r="AX52" t="e">
        <f>IF(AND(AW52&gt;=参照データ!$C$71,AW52&lt;=参照データ!$C$69),1,IF(AND(AW52&gt;=参照データ!$C$74,AW52&lt;=参照データ!$C$72),2,IF(AND(AW52&gt;=参照データ!$C$77,AW52&lt;=参照データ!$C$75),3,IF(AND(AW52&gt;=参照データ!$C$80,AW52&lt;=参照データ!$C$78),4,IF(AND(AW52&gt;=参照データ!$C$83,AW52&lt;=参照データ!$C$81),5,IF(AW52&lt;=参照データ!$C$84,6,0))))))</f>
        <v>#VALUE!</v>
      </c>
      <c r="AY52" t="e">
        <f>IF(AV52="男子",VLOOKUP(AX52,参照データ!$C$95:$D$100,2),AX52)</f>
        <v>#VALUE!</v>
      </c>
      <c r="AZ52" s="241" t="str">
        <f t="shared" si="72"/>
        <v/>
      </c>
      <c r="BA52" s="219" t="str">
        <f>IF($J52="○",VLOOKUP($AZ52,参照データ!$B$24:$G$41,3,0),"")</f>
        <v/>
      </c>
      <c r="BB52" s="220" t="str">
        <f>IF($K52="○",VLOOKUP($AZ52,参照データ!$B$24:$G$41,4,0),"")</f>
        <v/>
      </c>
      <c r="BC52" s="220" t="str">
        <f>IF($L52="○",VLOOKUP($AZ52,参照データ!$B$24:$G$41,5,0),"")</f>
        <v/>
      </c>
      <c r="BD52" s="220" t="str">
        <f>IF($M52="○",VLOOKUP($AZ52,参照データ!$B$24:$G$41,6,0),"")</f>
        <v/>
      </c>
      <c r="BE52" s="220" t="str">
        <f>IF($N52="○",VLOOKUP($AZ52,参照データ!$B$24:$H$41,7,0),"")</f>
        <v/>
      </c>
      <c r="BF52" s="221" t="str">
        <f>IF($O52="○",VLOOKUP($AZ52,参照データ!$B$24:$I$41,8,0),"")</f>
        <v/>
      </c>
      <c r="BG52" s="344" t="str">
        <f t="shared" si="18"/>
        <v/>
      </c>
      <c r="BH52" s="242" t="str">
        <f>IF($Q52="入門",VLOOKUP($AZ52,参照データ!$B$46:$U$63,3,0),IF($Q52="初級",VLOOKUP($AZ52,参照データ!$B$46:$U$63,4,0),IF($Q52="中級",VLOOKUP($AZ52,参照データ!$B$46:$U$63,5,0),IF($Q52="上級",VLOOKUP($AZ52,参照データ!$B$46:$U$63,6,0),""))))</f>
        <v/>
      </c>
      <c r="BI52" s="242" t="str">
        <f>IF($R52="初級",VLOOKUP($AZ52,参照データ!$B$46:$U$63,7,0),IF($R52="中級",VLOOKUP($AZ52,参照データ!$B$46:$U$63,8,0),IF($R52="上級",VLOOKUP($AZ52,参照データ!$B$46:$U$63,9,0),"")))</f>
        <v/>
      </c>
      <c r="BJ52" s="242" t="str">
        <f>IF($S52="初級",VLOOKUP($AZ52,参照データ!$B$46:$U$63,10,0),IF($S52="上級",VLOOKUP($AZ52,参照データ!$B$46:$U$63,11,0),""))</f>
        <v/>
      </c>
      <c r="BK52" s="242" t="str">
        <f>IF($T52="初級",VLOOKUP($AZ52,参照データ!$B$46:$U$63,15,0),IF($T52="中級",VLOOKUP($AZ52,参照データ!$B$46:$U$63,16,0),IF($T52="上級",VLOOKUP($AZ52,参照データ!$B$46:$U$63,17,0),"")))</f>
        <v/>
      </c>
      <c r="BL52" s="242" t="str">
        <f>IF($U52="初級",VLOOKUP($AZ52,参照データ!$B$46:$U$63,12,0),IF($U52="中級",VLOOKUP($AZ52,参照データ!$B$46:$U$63,13,0),IF($U52="上級",VLOOKUP($AZ52,参照データ!$B$46:$U$63,14,0),"")))</f>
        <v/>
      </c>
      <c r="BM52" s="21" t="str">
        <f t="shared" si="19"/>
        <v/>
      </c>
      <c r="BN52" s="21" t="str">
        <f>IF($V52="初級",VLOOKUP($AZ52,参照データ!$B$46:$U$63,18,0),IF($V52="中級",VLOOKUP($AZ52,参照データ!$B$46:$U$63,19,0),IF($V52="上級",VLOOKUP($AZ52,参照データ!$B$46:$U$63,20,0),"")))</f>
        <v/>
      </c>
      <c r="BO52" s="587"/>
      <c r="BP52" s="250" t="s">
        <v>279</v>
      </c>
      <c r="BQ52" s="251" t="str">
        <f t="shared" si="73"/>
        <v/>
      </c>
      <c r="BR52" s="595"/>
      <c r="BT52" s="241" t="e">
        <f t="shared" si="86"/>
        <v>#VALUE!</v>
      </c>
      <c r="BU52" s="245" t="str">
        <f>IF($X52="○",VLOOKUP($BT52,参照データ!$D$89:$F$100,3,0),"")</f>
        <v/>
      </c>
      <c r="BV52" s="246" t="str">
        <f t="shared" si="74"/>
        <v/>
      </c>
      <c r="BW52" s="245" t="str">
        <f>IF($Z52="○",VLOOKUP($BT52,参照データ!$D$89:$J$100,7,0),"")</f>
        <v/>
      </c>
      <c r="BX52" s="246" t="str">
        <f t="shared" si="75"/>
        <v/>
      </c>
      <c r="BY52" s="245" t="str">
        <f>IF($AB52="○",VLOOKUP($BT52,参照データ!$D$89:$N$100,11,0),"")</f>
        <v/>
      </c>
      <c r="BZ52" s="246" t="str">
        <f t="shared" si="76"/>
        <v/>
      </c>
      <c r="CA52" s="245" t="str">
        <f>IF($AD52="○",VLOOKUP($BT52,参照データ!$D$89:$T$100,17,0),"")</f>
        <v/>
      </c>
      <c r="CB52" s="246" t="str">
        <f t="shared" si="21"/>
        <v/>
      </c>
      <c r="CC52" s="245" t="str">
        <f>IF($AF52="○",VLOOKUP($BT52,参照データ!$D$89:$T$100,16,0),"")</f>
        <v/>
      </c>
      <c r="CD52" s="246" t="str">
        <f t="shared" si="22"/>
        <v/>
      </c>
      <c r="CE52" s="25">
        <f t="shared" si="23"/>
        <v>0</v>
      </c>
      <c r="CF52" s="312" t="e">
        <f t="shared" si="77"/>
        <v>#N/A</v>
      </c>
      <c r="CG52" s="300" t="str">
        <f t="shared" si="24"/>
        <v/>
      </c>
      <c r="CH52" s="645"/>
      <c r="CI52" s="252" t="s">
        <v>134</v>
      </c>
      <c r="CJ52" s="253" t="e">
        <f t="shared" si="78"/>
        <v>#N/A</v>
      </c>
      <c r="CK52" s="253" t="e">
        <f>VLOOKUP(CJ52,参照データ!$D$89:$R$100,15,0)</f>
        <v>#N/A</v>
      </c>
      <c r="CL52" s="647"/>
      <c r="CM52" s="288" t="e">
        <f>CM51</f>
        <v>#N/A</v>
      </c>
      <c r="CN52" s="290" t="str">
        <f>IF($AJ52="○",VLOOKUP($BT52,参照データ!$D$89:$V$100,19,0),"")</f>
        <v/>
      </c>
      <c r="CO52" s="246" t="str">
        <f t="shared" si="25"/>
        <v/>
      </c>
      <c r="CQ52" t="e">
        <f>IF(AND($AW52&gt;=参照データ!$C$132,$AW52&lt;=参照データ!$C$130),1,IF(AND($AW52&gt;=参照データ!$C$135,$AW52&lt;=参照データ!$C$133),2,IF(AND($AW52&gt;=参照データ!$C$138,$AW52&lt;=参照データ!$C$136),3,IF($AW52&lt;=参照データ!$C$139,4,0))))</f>
        <v>#VALUE!</v>
      </c>
      <c r="CR52" t="e">
        <f>IF($AV52="男子",VLOOKUP(CQ52,参照データ!$C$143:$D$150,2),CQ52)</f>
        <v>#VALUE!</v>
      </c>
      <c r="CS52" s="388" t="e">
        <f t="shared" si="26"/>
        <v>#VALUE!</v>
      </c>
      <c r="CT52" s="389" t="str">
        <f>IF($AM52="○",VLOOKUP($CS52,参照データ!$D$143:$F$150,3,0),"")</f>
        <v/>
      </c>
      <c r="CU52" s="390" t="str">
        <f t="shared" si="52"/>
        <v/>
      </c>
      <c r="CV52">
        <f t="shared" si="39"/>
        <v>0</v>
      </c>
      <c r="CW52" s="312" t="e">
        <f t="shared" si="79"/>
        <v>#N/A</v>
      </c>
      <c r="CX52" s="391" t="str">
        <f t="shared" si="28"/>
        <v/>
      </c>
      <c r="CY52" s="721"/>
      <c r="CZ52" s="395" t="s">
        <v>134</v>
      </c>
      <c r="DA52" s="396" t="e">
        <f t="shared" si="40"/>
        <v>#N/A</v>
      </c>
      <c r="DB52" s="396" t="e">
        <f>VLOOKUP(DA52,参照データ!$D$143:$J$150,7,0)</f>
        <v>#N/A</v>
      </c>
      <c r="DC52" s="723"/>
      <c r="DD52" s="397" t="e">
        <f t="shared" ref="DD52" si="91">DD51</f>
        <v>#N/A</v>
      </c>
      <c r="DF52" s="254">
        <f>(COUNTIF($J52:$O52,"&lt;&gt;"))*参照データ!$D$3</f>
        <v>0</v>
      </c>
      <c r="DG52" s="297">
        <f t="shared" si="29"/>
        <v>0</v>
      </c>
      <c r="DH52" s="157" cm="1">
        <f t="array" ref="DH52">(SUM(COUNTIF($Q52:$U52,{"入門","初級"}))*3000)+(SUM(COUNTIF($Q52:$U52,{"中級","上級"})*3500))</f>
        <v>0</v>
      </c>
      <c r="DI52" s="157">
        <f>IFERROR(VLOOKUP(V52,参照データ!$G$3:$I$6,3,0),0)</f>
        <v>0</v>
      </c>
      <c r="DJ52" s="469">
        <f t="shared" si="30"/>
        <v>0</v>
      </c>
      <c r="DK52" s="157">
        <f t="shared" si="31"/>
        <v>0</v>
      </c>
      <c r="DL52" s="157">
        <f t="shared" si="32"/>
        <v>0</v>
      </c>
      <c r="DM52" s="157">
        <f>(COUNTIF($AM52,"○"))*参照データ!$H$13</f>
        <v>0</v>
      </c>
      <c r="DN52" s="157">
        <f>(IF($AO52&gt;0,参照データ!$I$14,0))</f>
        <v>0</v>
      </c>
      <c r="DO52" s="249">
        <f t="array" ref="DO52">SUM(IF(ISERROR($DF52:$DN52),0,($DF52:$DN52)))</f>
        <v>0</v>
      </c>
      <c r="DP52" s="157"/>
      <c r="DQ52" s="157">
        <f t="shared" si="33"/>
        <v>0</v>
      </c>
      <c r="DR52" s="157">
        <f t="shared" si="34"/>
        <v>0</v>
      </c>
      <c r="DS52" s="157">
        <f t="shared" si="35"/>
        <v>0</v>
      </c>
      <c r="DT52" s="157">
        <f t="shared" si="36"/>
        <v>0</v>
      </c>
      <c r="DU52" s="157">
        <f t="shared" si="37"/>
        <v>0</v>
      </c>
      <c r="DV52" t="str">
        <f t="shared" si="81"/>
        <v/>
      </c>
    </row>
    <row r="53" spans="1:126" ht="18.75" customHeight="1" x14ac:dyDescent="0.2">
      <c r="A53">
        <v>41</v>
      </c>
      <c r="B53" s="183" t="str">
        <f>IF(D53="","",IF(D53="重複","",COUNTIF(B$13:$B52,"&gt;0")+1))</f>
        <v/>
      </c>
      <c r="C53" s="264"/>
      <c r="D53" s="134"/>
      <c r="E53" s="134"/>
      <c r="F53" s="135"/>
      <c r="G53" s="136"/>
      <c r="H53" s="169">
        <f t="shared" si="11"/>
        <v>0</v>
      </c>
      <c r="I53" s="170" t="str">
        <f t="shared" si="12"/>
        <v/>
      </c>
      <c r="J53" s="138"/>
      <c r="K53" s="138"/>
      <c r="L53" s="138"/>
      <c r="M53" s="139"/>
      <c r="N53" s="146"/>
      <c r="O53" s="141"/>
      <c r="P53" s="336"/>
      <c r="Q53" s="142"/>
      <c r="R53" s="143"/>
      <c r="S53" s="143"/>
      <c r="T53" s="144"/>
      <c r="U53" s="143"/>
      <c r="V53" s="267"/>
      <c r="W53" s="145"/>
      <c r="X53" s="269"/>
      <c r="Y53" s="148" t="str">
        <f>IF($X53="○",VLOOKUP($AY53,参照データ!$D$89:$E$100,2),"")</f>
        <v/>
      </c>
      <c r="Z53" s="271"/>
      <c r="AA53" s="148" t="str">
        <f>IF($Z53="○",VLOOKUP($AY53,参照データ!$D$89:$J$100,6),"")</f>
        <v/>
      </c>
      <c r="AB53" s="271"/>
      <c r="AC53" s="148" t="str">
        <f>IF($AB53="○",VLOOKUP($AY53,参照データ!$D$89:$N$100,10),"")</f>
        <v/>
      </c>
      <c r="AD53" s="271"/>
      <c r="AE53" s="148" t="str">
        <f>IF($AD53="○",VLOOKUP($AY53,参照データ!$D$89:$Q$100,14),"")</f>
        <v/>
      </c>
      <c r="AF53" s="271"/>
      <c r="AG53" s="148" t="str">
        <f>IF($AF53="○",VLOOKUP($AY53,参照データ!$D$89:$Q$100,14),"")</f>
        <v/>
      </c>
      <c r="AH53" s="266"/>
      <c r="AI53" s="370" t="str">
        <f t="shared" si="38"/>
        <v/>
      </c>
      <c r="AJ53" s="498"/>
      <c r="AK53" s="497" t="str">
        <f>IF($AJ53="○",VLOOKUP($AY53,参照データ!$D$89:$U$100,18),"")</f>
        <v/>
      </c>
      <c r="AL53" s="170" t="str">
        <f t="shared" si="13"/>
        <v/>
      </c>
      <c r="AM53" s="269"/>
      <c r="AN53" s="413" t="str">
        <f>IF($AM53="○",VLOOKUP($CR53,参照データ!$D$143:$E$150,2),"")</f>
        <v/>
      </c>
      <c r="AO53" s="416"/>
      <c r="AP53" s="366" t="str">
        <f t="shared" si="14"/>
        <v/>
      </c>
      <c r="AQ53" s="465"/>
      <c r="AR53" s="466"/>
      <c r="AU53" s="273" t="str">
        <f t="shared" si="82"/>
        <v/>
      </c>
      <c r="AV53" s="274" t="str">
        <f t="shared" si="83"/>
        <v/>
      </c>
      <c r="AW53" s="226" t="e">
        <f t="shared" si="17"/>
        <v>#VALUE!</v>
      </c>
      <c r="AX53" t="e">
        <f>IF(AND(AW53&gt;=参照データ!$C$71,AW53&lt;=参照データ!$C$69),1,IF(AND(AW53&gt;=参照データ!$C$74,AW53&lt;=参照データ!$C$72),2,IF(AND(AW53&gt;=参照データ!$C$77,AW53&lt;=参照データ!$C$75),3,IF(AND(AW53&gt;=参照データ!$C$80,AW53&lt;=参照データ!$C$78),4,IF(AND(AW53&gt;=参照データ!$C$83,AW53&lt;=参照データ!$C$81),5,IF(AW53&lt;=参照データ!$C$84,6,0))))))</f>
        <v>#VALUE!</v>
      </c>
      <c r="AY53" t="e">
        <f>IF(AV53="男子",VLOOKUP(AX53,参照データ!$C$95:$D$100,2),AX53)</f>
        <v>#VALUE!</v>
      </c>
      <c r="AZ53" s="241" t="str">
        <f t="shared" si="72"/>
        <v/>
      </c>
      <c r="BA53" s="219" t="str">
        <f>IF($J53="○",VLOOKUP($AZ53,参照データ!$B$24:$G$41,3,0),"")</f>
        <v/>
      </c>
      <c r="BB53" s="220" t="str">
        <f>IF($K53="○",VLOOKUP($AZ53,参照データ!$B$24:$G$41,4,0),"")</f>
        <v/>
      </c>
      <c r="BC53" s="220" t="str">
        <f>IF($L53="○",VLOOKUP($AZ53,参照データ!$B$24:$G$41,5,0),"")</f>
        <v/>
      </c>
      <c r="BD53" s="220" t="str">
        <f>IF($M53="○",VLOOKUP($AZ53,参照データ!$B$24:$G$41,6,0),"")</f>
        <v/>
      </c>
      <c r="BE53" s="220" t="str">
        <f>IF($N53="○",VLOOKUP($AZ53,参照データ!$B$24:$H$41,7,0),"")</f>
        <v/>
      </c>
      <c r="BF53" s="221" t="str">
        <f>IF($O53="○",VLOOKUP($AZ53,参照データ!$B$24:$I$41,8,0),"")</f>
        <v/>
      </c>
      <c r="BG53" s="344" t="str">
        <f t="shared" si="18"/>
        <v/>
      </c>
      <c r="BH53" s="242" t="str">
        <f>IF($Q53="入門",VLOOKUP($AZ53,参照データ!$B$46:$U$63,3,0),IF($Q53="初級",VLOOKUP($AZ53,参照データ!$B$46:$U$63,4,0),IF($Q53="中級",VLOOKUP($AZ53,参照データ!$B$46:$U$63,5,0),IF($Q53="上級",VLOOKUP($AZ53,参照データ!$B$46:$U$63,6,0),""))))</f>
        <v/>
      </c>
      <c r="BI53" s="242" t="str">
        <f>IF($R53="初級",VLOOKUP($AZ53,参照データ!$B$46:$U$63,7,0),IF($R53="中級",VLOOKUP($AZ53,参照データ!$B$46:$U$63,8,0),IF($R53="上級",VLOOKUP($AZ53,参照データ!$B$46:$U$63,9,0),"")))</f>
        <v/>
      </c>
      <c r="BJ53" s="242" t="str">
        <f>IF($S53="初級",VLOOKUP($AZ53,参照データ!$B$46:$U$63,10,0),IF($S53="上級",VLOOKUP($AZ53,参照データ!$B$46:$U$63,11,0),""))</f>
        <v/>
      </c>
      <c r="BK53" s="242" t="str">
        <f>IF($T53="初級",VLOOKUP($AZ53,参照データ!$B$46:$U$63,15,0),IF($T53="中級",VLOOKUP($AZ53,参照データ!$B$46:$U$63,16,0),IF($T53="上級",VLOOKUP($AZ53,参照データ!$B$46:$U$63,17,0),"")))</f>
        <v/>
      </c>
      <c r="BL53" s="242" t="str">
        <f>IF($U53="初級",VLOOKUP($AZ53,参照データ!$B$46:$U$63,12,0),IF($U53="中級",VLOOKUP($AZ53,参照データ!$B$46:$U$63,13,0),IF($U53="上級",VLOOKUP($AZ53,参照データ!$B$46:$U$63,14,0),"")))</f>
        <v/>
      </c>
      <c r="BM53" s="21" t="str">
        <f t="shared" si="19"/>
        <v/>
      </c>
      <c r="BN53" s="21" t="str">
        <f>IF($V53="初級",VLOOKUP($AZ53,参照データ!$B$46:$U$63,18,0),IF($V53="中級",VLOOKUP($AZ53,参照データ!$B$46:$U$63,19,0),IF($V53="上級",VLOOKUP($AZ53,参照データ!$B$46:$U$63,20,0),"")))</f>
        <v/>
      </c>
      <c r="BO53" s="604">
        <v>21</v>
      </c>
      <c r="BP53" s="255" t="s">
        <v>280</v>
      </c>
      <c r="BQ53" s="251" t="str">
        <f t="shared" si="73"/>
        <v/>
      </c>
      <c r="BR53" s="594" t="str">
        <f>IF(OR($BQ53="",$BQ54=""),"",IF($BQ53&gt;$BQ54,$BQ53,$BQ54))</f>
        <v/>
      </c>
      <c r="BT53" s="241" t="e">
        <f t="shared" si="86"/>
        <v>#VALUE!</v>
      </c>
      <c r="BU53" s="245" t="str">
        <f>IF($X53="○",VLOOKUP($BT53,参照データ!$D$89:$F$100,3,0),"")</f>
        <v/>
      </c>
      <c r="BV53" s="246" t="str">
        <f t="shared" si="74"/>
        <v/>
      </c>
      <c r="BW53" s="245" t="str">
        <f>IF($Z53="○",VLOOKUP($BT53,参照データ!$D$89:$J$100,7,0),"")</f>
        <v/>
      </c>
      <c r="BX53" s="246" t="str">
        <f t="shared" si="75"/>
        <v/>
      </c>
      <c r="BY53" s="245" t="str">
        <f>IF($AB53="○",VLOOKUP($BT53,参照データ!$D$89:$N$100,11,0),"")</f>
        <v/>
      </c>
      <c r="BZ53" s="246" t="str">
        <f t="shared" si="76"/>
        <v/>
      </c>
      <c r="CA53" s="245" t="str">
        <f>IF($AD53="○",VLOOKUP($BT53,参照データ!$D$89:$T$100,17,0),"")</f>
        <v/>
      </c>
      <c r="CB53" s="246" t="str">
        <f t="shared" si="21"/>
        <v/>
      </c>
      <c r="CC53" s="245" t="str">
        <f>IF($AF53="○",VLOOKUP($BT53,参照データ!$D$89:$T$100,16,0),"")</f>
        <v/>
      </c>
      <c r="CD53" s="246" t="str">
        <f t="shared" si="22"/>
        <v/>
      </c>
      <c r="CE53" s="25">
        <f t="shared" si="23"/>
        <v>0</v>
      </c>
      <c r="CF53" s="312" t="e">
        <f t="shared" si="77"/>
        <v>#N/A</v>
      </c>
      <c r="CG53" s="300" t="str">
        <f t="shared" si="24"/>
        <v/>
      </c>
      <c r="CH53" s="648">
        <v>21</v>
      </c>
      <c r="CI53" s="256" t="s">
        <v>135</v>
      </c>
      <c r="CJ53" s="257" t="e">
        <f t="shared" si="78"/>
        <v>#N/A</v>
      </c>
      <c r="CK53" s="257" t="e">
        <f>VLOOKUP(CJ53,参照データ!$D$89:$R$100,15,0)</f>
        <v>#N/A</v>
      </c>
      <c r="CL53" s="649" t="e">
        <f>IF(OR($CJ53="",$CJ54=""),"",IF($CJ53&gt;$CJ54,$CK53,$CK54))</f>
        <v>#N/A</v>
      </c>
      <c r="CM53" s="289" t="e">
        <f>INDEX(参照データ!$Q$89:$Q$100,MATCH($CL53,参照データ!$R$89:$R$100,0))</f>
        <v>#N/A</v>
      </c>
      <c r="CN53" s="290" t="str">
        <f>IF($AJ53="○",VLOOKUP($BT53,参照データ!$D$89:$V$100,19,0),"")</f>
        <v/>
      </c>
      <c r="CO53" s="246" t="str">
        <f t="shared" si="25"/>
        <v/>
      </c>
      <c r="CQ53" t="e">
        <f>IF(AND($AW53&gt;=参照データ!$C$132,$AW53&lt;=参照データ!$C$130),1,IF(AND($AW53&gt;=参照データ!$C$135,$AW53&lt;=参照データ!$C$133),2,IF(AND($AW53&gt;=参照データ!$C$138,$AW53&lt;=参照データ!$C$136),3,IF($AW53&lt;=参照データ!$C$139,4,0))))</f>
        <v>#VALUE!</v>
      </c>
      <c r="CR53" t="e">
        <f>IF($AV53="男子",VLOOKUP(CQ53,参照データ!$C$143:$D$150,2),CQ53)</f>
        <v>#VALUE!</v>
      </c>
      <c r="CS53" s="388" t="e">
        <f t="shared" si="26"/>
        <v>#VALUE!</v>
      </c>
      <c r="CT53" s="389" t="str">
        <f>IF($AM53="○",VLOOKUP($CS53,参照データ!$D$143:$F$150,3,0),"")</f>
        <v/>
      </c>
      <c r="CU53" s="390" t="str">
        <f t="shared" si="52"/>
        <v/>
      </c>
      <c r="CV53">
        <f t="shared" si="39"/>
        <v>0</v>
      </c>
      <c r="CW53" s="312" t="e">
        <f t="shared" si="79"/>
        <v>#N/A</v>
      </c>
      <c r="CX53" s="391" t="str">
        <f t="shared" si="28"/>
        <v/>
      </c>
      <c r="CY53" s="724">
        <v>21</v>
      </c>
      <c r="CZ53" s="398" t="s">
        <v>135</v>
      </c>
      <c r="DA53" s="399" t="e">
        <f t="shared" si="40"/>
        <v>#N/A</v>
      </c>
      <c r="DB53" s="399" t="e">
        <f>VLOOKUP(DA53,参照データ!$D$143:$J$150,7,0)</f>
        <v>#N/A</v>
      </c>
      <c r="DC53" s="725" t="e">
        <f t="shared" ref="DC53" si="92">IF(OR($DA53="",$DA54=""),"",IF($DA53&gt;$DA54,$DB53,$DB54))</f>
        <v>#N/A</v>
      </c>
      <c r="DD53" s="400" t="e">
        <f>INDEX(参照データ!$I$143:$I$150,MATCH($DC53,参照データ!$J$143:$J$150,0))</f>
        <v>#N/A</v>
      </c>
      <c r="DF53" s="254">
        <f>(COUNTIF($J53:$O53,"&lt;&gt;"))*参照データ!$D$3</f>
        <v>0</v>
      </c>
      <c r="DG53" s="297">
        <f t="shared" si="29"/>
        <v>0</v>
      </c>
      <c r="DH53" s="157" cm="1">
        <f t="array" ref="DH53">(SUM(COUNTIF($Q53:$U53,{"入門","初級"}))*3000)+(SUM(COUNTIF($Q53:$U53,{"中級","上級"})*3500))</f>
        <v>0</v>
      </c>
      <c r="DI53" s="157">
        <f>IFERROR(VLOOKUP(V53,参照データ!$G$3:$I$6,3,0),0)</f>
        <v>0</v>
      </c>
      <c r="DJ53" s="469">
        <f t="shared" si="30"/>
        <v>0</v>
      </c>
      <c r="DK53" s="157">
        <f t="shared" si="31"/>
        <v>0</v>
      </c>
      <c r="DL53" s="157">
        <f t="shared" si="32"/>
        <v>0</v>
      </c>
      <c r="DM53" s="157">
        <f>(COUNTIF($AM53,"○"))*参照データ!$H$13</f>
        <v>0</v>
      </c>
      <c r="DN53" s="157">
        <f>(IF($AO53&gt;0,参照データ!$I$14,0))</f>
        <v>0</v>
      </c>
      <c r="DO53" s="249">
        <f t="array" ref="DO53">SUM(IF(ISERROR($DF53:$DN53),0,($DF53:$DN53)))</f>
        <v>0</v>
      </c>
      <c r="DP53" s="157"/>
      <c r="DQ53" s="157">
        <f t="shared" si="33"/>
        <v>0</v>
      </c>
      <c r="DR53" s="157">
        <f t="shared" si="34"/>
        <v>0</v>
      </c>
      <c r="DS53" s="157">
        <f t="shared" si="35"/>
        <v>0</v>
      </c>
      <c r="DT53" s="157">
        <f t="shared" si="36"/>
        <v>0</v>
      </c>
      <c r="DU53" s="157">
        <f t="shared" si="37"/>
        <v>0</v>
      </c>
      <c r="DV53" t="str">
        <f t="shared" si="81"/>
        <v/>
      </c>
    </row>
    <row r="54" spans="1:126" ht="18.75" customHeight="1" x14ac:dyDescent="0.2">
      <c r="A54">
        <v>42</v>
      </c>
      <c r="B54" s="183" t="str">
        <f>IF(D54="","",IF(D54="重複","",COUNTIF(B$13:$B53,"&gt;0")+1))</f>
        <v/>
      </c>
      <c r="C54" s="264"/>
      <c r="D54" s="134"/>
      <c r="E54" s="134"/>
      <c r="F54" s="135"/>
      <c r="G54" s="136"/>
      <c r="H54" s="169">
        <f t="shared" si="11"/>
        <v>0</v>
      </c>
      <c r="I54" s="170" t="str">
        <f t="shared" si="12"/>
        <v/>
      </c>
      <c r="J54" s="138"/>
      <c r="K54" s="138"/>
      <c r="L54" s="138"/>
      <c r="M54" s="139"/>
      <c r="N54" s="146"/>
      <c r="O54" s="141"/>
      <c r="P54" s="336"/>
      <c r="Q54" s="142"/>
      <c r="R54" s="143"/>
      <c r="S54" s="143"/>
      <c r="T54" s="144"/>
      <c r="U54" s="143"/>
      <c r="V54" s="267"/>
      <c r="W54" s="145"/>
      <c r="X54" s="269"/>
      <c r="Y54" s="148" t="str">
        <f>IF($X54="○",VLOOKUP($AY54,参照データ!$D$89:$E$100,2),"")</f>
        <v/>
      </c>
      <c r="Z54" s="271"/>
      <c r="AA54" s="148" t="str">
        <f>IF($Z54="○",VLOOKUP($AY54,参照データ!$D$89:$J$100,6),"")</f>
        <v/>
      </c>
      <c r="AB54" s="271"/>
      <c r="AC54" s="148" t="str">
        <f>IF($AB54="○",VLOOKUP($AY54,参照データ!$D$89:$N$100,10),"")</f>
        <v/>
      </c>
      <c r="AD54" s="271"/>
      <c r="AE54" s="148" t="str">
        <f>IF($AD54="○",VLOOKUP($AY54,参照データ!$D$89:$Q$100,14),"")</f>
        <v/>
      </c>
      <c r="AF54" s="271"/>
      <c r="AG54" s="148" t="str">
        <f>IF($AF54="○",VLOOKUP($AY54,参照データ!$D$89:$Q$100,14),"")</f>
        <v/>
      </c>
      <c r="AH54" s="266"/>
      <c r="AI54" s="370" t="str">
        <f t="shared" si="38"/>
        <v/>
      </c>
      <c r="AJ54" s="498"/>
      <c r="AK54" s="497" t="str">
        <f>IF($AJ54="○",VLOOKUP($AY54,参照データ!$D$89:$U$100,18),"")</f>
        <v/>
      </c>
      <c r="AL54" s="170" t="str">
        <f t="shared" si="13"/>
        <v/>
      </c>
      <c r="AM54" s="269"/>
      <c r="AN54" s="413" t="str">
        <f>IF($AM54="○",VLOOKUP($CR54,参照データ!$D$143:$E$150,2),"")</f>
        <v/>
      </c>
      <c r="AO54" s="416"/>
      <c r="AP54" s="366" t="str">
        <f t="shared" si="14"/>
        <v/>
      </c>
      <c r="AQ54" s="465"/>
      <c r="AR54" s="466"/>
      <c r="AU54" s="273" t="str">
        <f t="shared" si="82"/>
        <v/>
      </c>
      <c r="AV54" s="274" t="str">
        <f t="shared" si="83"/>
        <v/>
      </c>
      <c r="AW54" s="226" t="e">
        <f t="shared" si="17"/>
        <v>#VALUE!</v>
      </c>
      <c r="AX54" t="e">
        <f>IF(AND(AW54&gt;=参照データ!$C$71,AW54&lt;=参照データ!$C$69),1,IF(AND(AW54&gt;=参照データ!$C$74,AW54&lt;=参照データ!$C$72),2,IF(AND(AW54&gt;=参照データ!$C$77,AW54&lt;=参照データ!$C$75),3,IF(AND(AW54&gt;=参照データ!$C$80,AW54&lt;=参照データ!$C$78),4,IF(AND(AW54&gt;=参照データ!$C$83,AW54&lt;=参照データ!$C$81),5,IF(AW54&lt;=参照データ!$C$84,6,0))))))</f>
        <v>#VALUE!</v>
      </c>
      <c r="AY54" t="e">
        <f>IF(AV54="男子",VLOOKUP(AX54,参照データ!$C$95:$D$100,2),AX54)</f>
        <v>#VALUE!</v>
      </c>
      <c r="AZ54" s="241" t="str">
        <f t="shared" si="72"/>
        <v/>
      </c>
      <c r="BA54" s="219" t="str">
        <f>IF($J54="○",VLOOKUP($AZ54,参照データ!$B$24:$G$41,3,0),"")</f>
        <v/>
      </c>
      <c r="BB54" s="220" t="str">
        <f>IF($K54="○",VLOOKUP($AZ54,参照データ!$B$24:$G$41,4,0),"")</f>
        <v/>
      </c>
      <c r="BC54" s="220" t="str">
        <f>IF($L54="○",VLOOKUP($AZ54,参照データ!$B$24:$G$41,5,0),"")</f>
        <v/>
      </c>
      <c r="BD54" s="220" t="str">
        <f>IF($M54="○",VLOOKUP($AZ54,参照データ!$B$24:$G$41,6,0),"")</f>
        <v/>
      </c>
      <c r="BE54" s="220" t="str">
        <f>IF($N54="○",VLOOKUP($AZ54,参照データ!$B$24:$H$41,7,0),"")</f>
        <v/>
      </c>
      <c r="BF54" s="221" t="str">
        <f>IF($O54="○",VLOOKUP($AZ54,参照データ!$B$24:$I$41,8,0),"")</f>
        <v/>
      </c>
      <c r="BG54" s="344" t="str">
        <f t="shared" si="18"/>
        <v/>
      </c>
      <c r="BH54" s="242" t="str">
        <f>IF($Q54="入門",VLOOKUP($AZ54,参照データ!$B$46:$U$63,3,0),IF($Q54="初級",VLOOKUP($AZ54,参照データ!$B$46:$U$63,4,0),IF($Q54="中級",VLOOKUP($AZ54,参照データ!$B$46:$U$63,5,0),IF($Q54="上級",VLOOKUP($AZ54,参照データ!$B$46:$U$63,6,0),""))))</f>
        <v/>
      </c>
      <c r="BI54" s="242" t="str">
        <f>IF($R54="初級",VLOOKUP($AZ54,参照データ!$B$46:$U$63,7,0),IF($R54="中級",VLOOKUP($AZ54,参照データ!$B$46:$U$63,8,0),IF($R54="上級",VLOOKUP($AZ54,参照データ!$B$46:$U$63,9,0),"")))</f>
        <v/>
      </c>
      <c r="BJ54" s="242" t="str">
        <f>IF($S54="初級",VLOOKUP($AZ54,参照データ!$B$46:$U$63,10,0),IF($S54="上級",VLOOKUP($AZ54,参照データ!$B$46:$U$63,11,0),""))</f>
        <v/>
      </c>
      <c r="BK54" s="242" t="str">
        <f>IF($T54="初級",VLOOKUP($AZ54,参照データ!$B$46:$U$63,15,0),IF($T54="中級",VLOOKUP($AZ54,参照データ!$B$46:$U$63,16,0),IF($T54="上級",VLOOKUP($AZ54,参照データ!$B$46:$U$63,17,0),"")))</f>
        <v/>
      </c>
      <c r="BL54" s="242" t="str">
        <f>IF($U54="初級",VLOOKUP($AZ54,参照データ!$B$46:$U$63,12,0),IF($U54="中級",VLOOKUP($AZ54,参照データ!$B$46:$U$63,13,0),IF($U54="上級",VLOOKUP($AZ54,参照データ!$B$46:$U$63,14,0),"")))</f>
        <v/>
      </c>
      <c r="BM54" s="21" t="str">
        <f t="shared" si="19"/>
        <v/>
      </c>
      <c r="BN54" s="21" t="str">
        <f>IF($V54="初級",VLOOKUP($AZ54,参照データ!$B$46:$U$63,18,0),IF($V54="中級",VLOOKUP($AZ54,参照データ!$B$46:$U$63,19,0),IF($V54="上級",VLOOKUP($AZ54,参照データ!$B$46:$U$63,20,0),"")))</f>
        <v/>
      </c>
      <c r="BO54" s="587"/>
      <c r="BP54" s="250" t="s">
        <v>281</v>
      </c>
      <c r="BQ54" s="251" t="str">
        <f t="shared" si="73"/>
        <v/>
      </c>
      <c r="BR54" s="595"/>
      <c r="BT54" s="241" t="e">
        <f t="shared" si="86"/>
        <v>#VALUE!</v>
      </c>
      <c r="BU54" s="245" t="str">
        <f>IF($X54="○",VLOOKUP($BT54,参照データ!$D$89:$F$100,3,0),"")</f>
        <v/>
      </c>
      <c r="BV54" s="246" t="str">
        <f t="shared" si="74"/>
        <v/>
      </c>
      <c r="BW54" s="245" t="str">
        <f>IF($Z54="○",VLOOKUP($BT54,参照データ!$D$89:$J$100,7,0),"")</f>
        <v/>
      </c>
      <c r="BX54" s="246" t="str">
        <f t="shared" si="75"/>
        <v/>
      </c>
      <c r="BY54" s="245" t="str">
        <f>IF($AB54="○",VLOOKUP($BT54,参照データ!$D$89:$N$100,11,0),"")</f>
        <v/>
      </c>
      <c r="BZ54" s="246" t="str">
        <f t="shared" si="76"/>
        <v/>
      </c>
      <c r="CA54" s="245" t="str">
        <f>IF($AD54="○",VLOOKUP($BT54,参照データ!$D$89:$T$100,17,0),"")</f>
        <v/>
      </c>
      <c r="CB54" s="246" t="str">
        <f t="shared" si="21"/>
        <v/>
      </c>
      <c r="CC54" s="245" t="str">
        <f>IF($AF54="○",VLOOKUP($BT54,参照データ!$D$89:$T$100,16,0),"")</f>
        <v/>
      </c>
      <c r="CD54" s="246" t="str">
        <f t="shared" si="22"/>
        <v/>
      </c>
      <c r="CE54" s="25">
        <f t="shared" si="23"/>
        <v>0</v>
      </c>
      <c r="CF54" s="312" t="e">
        <f t="shared" si="77"/>
        <v>#N/A</v>
      </c>
      <c r="CG54" s="300" t="str">
        <f t="shared" si="24"/>
        <v/>
      </c>
      <c r="CH54" s="645"/>
      <c r="CI54" s="252" t="s">
        <v>136</v>
      </c>
      <c r="CJ54" s="253" t="e">
        <f t="shared" si="78"/>
        <v>#N/A</v>
      </c>
      <c r="CK54" s="253" t="e">
        <f>VLOOKUP(CJ54,参照データ!$D$89:$R$100,15,0)</f>
        <v>#N/A</v>
      </c>
      <c r="CL54" s="647"/>
      <c r="CM54" s="288" t="e">
        <f>CM53</f>
        <v>#N/A</v>
      </c>
      <c r="CN54" s="290" t="str">
        <f>IF($AJ54="○",VLOOKUP($BT54,参照データ!$D$89:$V$100,19,0),"")</f>
        <v/>
      </c>
      <c r="CO54" s="246" t="str">
        <f t="shared" si="25"/>
        <v/>
      </c>
      <c r="CQ54" t="e">
        <f>IF(AND($AW54&gt;=参照データ!$C$132,$AW54&lt;=参照データ!$C$130),1,IF(AND($AW54&gt;=参照データ!$C$135,$AW54&lt;=参照データ!$C$133),2,IF(AND($AW54&gt;=参照データ!$C$138,$AW54&lt;=参照データ!$C$136),3,IF($AW54&lt;=参照データ!$C$139,4,0))))</f>
        <v>#VALUE!</v>
      </c>
      <c r="CR54" t="e">
        <f>IF($AV54="男子",VLOOKUP(CQ54,参照データ!$C$143:$D$150,2),CQ54)</f>
        <v>#VALUE!</v>
      </c>
      <c r="CS54" s="388" t="e">
        <f t="shared" si="26"/>
        <v>#VALUE!</v>
      </c>
      <c r="CT54" s="389" t="str">
        <f>IF($AM54="○",VLOOKUP($CS54,参照データ!$D$143:$F$150,3,0),"")</f>
        <v/>
      </c>
      <c r="CU54" s="390" t="str">
        <f t="shared" si="52"/>
        <v/>
      </c>
      <c r="CV54">
        <f t="shared" si="39"/>
        <v>0</v>
      </c>
      <c r="CW54" s="312" t="e">
        <f t="shared" si="79"/>
        <v>#N/A</v>
      </c>
      <c r="CX54" s="391" t="str">
        <f t="shared" si="28"/>
        <v/>
      </c>
      <c r="CY54" s="721"/>
      <c r="CZ54" s="395" t="s">
        <v>136</v>
      </c>
      <c r="DA54" s="396" t="e">
        <f t="shared" si="40"/>
        <v>#N/A</v>
      </c>
      <c r="DB54" s="396" t="e">
        <f>VLOOKUP(DA54,参照データ!$D$143:$J$150,7,0)</f>
        <v>#N/A</v>
      </c>
      <c r="DC54" s="723"/>
      <c r="DD54" s="397" t="e">
        <f t="shared" ref="DD54" si="93">DD53</f>
        <v>#N/A</v>
      </c>
      <c r="DF54" s="254">
        <f>(COUNTIF($J54:$O54,"&lt;&gt;"))*参照データ!$D$3</f>
        <v>0</v>
      </c>
      <c r="DG54" s="297">
        <f t="shared" si="29"/>
        <v>0</v>
      </c>
      <c r="DH54" s="157" cm="1">
        <f t="array" ref="DH54">(SUM(COUNTIF($Q54:$U54,{"入門","初級"}))*3000)+(SUM(COUNTIF($Q54:$U54,{"中級","上級"})*3500))</f>
        <v>0</v>
      </c>
      <c r="DI54" s="157">
        <f>IFERROR(VLOOKUP(V54,参照データ!$G$3:$I$6,3,0),0)</f>
        <v>0</v>
      </c>
      <c r="DJ54" s="469">
        <f t="shared" si="30"/>
        <v>0</v>
      </c>
      <c r="DK54" s="157">
        <f t="shared" si="31"/>
        <v>0</v>
      </c>
      <c r="DL54" s="157">
        <f t="shared" si="32"/>
        <v>0</v>
      </c>
      <c r="DM54" s="157">
        <f>(COUNTIF($AM54,"○"))*参照データ!$H$13</f>
        <v>0</v>
      </c>
      <c r="DN54" s="157">
        <f>(IF($AO54&gt;0,参照データ!$I$14,0))</f>
        <v>0</v>
      </c>
      <c r="DO54" s="249">
        <f t="array" ref="DO54">SUM(IF(ISERROR($DF54:$DN54),0,($DF54:$DN54)))</f>
        <v>0</v>
      </c>
      <c r="DP54" s="157"/>
      <c r="DQ54" s="157">
        <f t="shared" si="33"/>
        <v>0</v>
      </c>
      <c r="DR54" s="157">
        <f t="shared" si="34"/>
        <v>0</v>
      </c>
      <c r="DS54" s="157">
        <f t="shared" si="35"/>
        <v>0</v>
      </c>
      <c r="DT54" s="157">
        <f t="shared" si="36"/>
        <v>0</v>
      </c>
      <c r="DU54" s="157">
        <f t="shared" si="37"/>
        <v>0</v>
      </c>
      <c r="DV54" t="str">
        <f t="shared" si="81"/>
        <v/>
      </c>
    </row>
    <row r="55" spans="1:126" ht="18.75" customHeight="1" x14ac:dyDescent="0.2">
      <c r="A55">
        <v>43</v>
      </c>
      <c r="B55" s="183" t="str">
        <f>IF(D55="","",IF(D55="重複","",COUNTIF(B$13:$B54,"&gt;0")+1))</f>
        <v/>
      </c>
      <c r="C55" s="264"/>
      <c r="D55" s="134"/>
      <c r="E55" s="134"/>
      <c r="F55" s="135"/>
      <c r="G55" s="136"/>
      <c r="H55" s="169">
        <f t="shared" si="11"/>
        <v>0</v>
      </c>
      <c r="I55" s="170" t="str">
        <f t="shared" si="12"/>
        <v/>
      </c>
      <c r="J55" s="138"/>
      <c r="K55" s="138"/>
      <c r="L55" s="138"/>
      <c r="M55" s="139"/>
      <c r="N55" s="146"/>
      <c r="O55" s="141"/>
      <c r="P55" s="336"/>
      <c r="Q55" s="142"/>
      <c r="R55" s="143"/>
      <c r="S55" s="143"/>
      <c r="T55" s="144"/>
      <c r="U55" s="143"/>
      <c r="V55" s="267"/>
      <c r="W55" s="145"/>
      <c r="X55" s="269"/>
      <c r="Y55" s="148" t="str">
        <f>IF($X55="○",VLOOKUP($AY55,参照データ!$D$89:$E$100,2),"")</f>
        <v/>
      </c>
      <c r="Z55" s="271"/>
      <c r="AA55" s="148" t="str">
        <f>IF($Z55="○",VLOOKUP($AY55,参照データ!$D$89:$J$100,6),"")</f>
        <v/>
      </c>
      <c r="AB55" s="271"/>
      <c r="AC55" s="148" t="str">
        <f>IF($AB55="○",VLOOKUP($AY55,参照データ!$D$89:$N$100,10),"")</f>
        <v/>
      </c>
      <c r="AD55" s="271"/>
      <c r="AE55" s="148" t="str">
        <f>IF($AD55="○",VLOOKUP($AY55,参照データ!$D$89:$Q$100,14),"")</f>
        <v/>
      </c>
      <c r="AF55" s="271"/>
      <c r="AG55" s="148" t="str">
        <f>IF($AF55="○",VLOOKUP($AY55,参照データ!$D$89:$Q$100,14),"")</f>
        <v/>
      </c>
      <c r="AH55" s="266"/>
      <c r="AI55" s="370" t="str">
        <f t="shared" si="38"/>
        <v/>
      </c>
      <c r="AJ55" s="498"/>
      <c r="AK55" s="497" t="str">
        <f>IF($AJ55="○",VLOOKUP($AY55,参照データ!$D$89:$U$100,18),"")</f>
        <v/>
      </c>
      <c r="AL55" s="170" t="str">
        <f t="shared" si="13"/>
        <v/>
      </c>
      <c r="AM55" s="269"/>
      <c r="AN55" s="413" t="str">
        <f>IF($AM55="○",VLOOKUP($CR55,参照データ!$D$143:$E$150,2),"")</f>
        <v/>
      </c>
      <c r="AO55" s="416"/>
      <c r="AP55" s="366" t="str">
        <f t="shared" si="14"/>
        <v/>
      </c>
      <c r="AQ55" s="465"/>
      <c r="AR55" s="466"/>
      <c r="AU55" s="273" t="str">
        <f t="shared" si="82"/>
        <v/>
      </c>
      <c r="AV55" s="274" t="str">
        <f t="shared" si="83"/>
        <v/>
      </c>
      <c r="AW55" s="226" t="e">
        <f t="shared" si="17"/>
        <v>#VALUE!</v>
      </c>
      <c r="AX55" t="e">
        <f>IF(AND(AW55&gt;=参照データ!$C$71,AW55&lt;=参照データ!$C$69),1,IF(AND(AW55&gt;=参照データ!$C$74,AW55&lt;=参照データ!$C$72),2,IF(AND(AW55&gt;=参照データ!$C$77,AW55&lt;=参照データ!$C$75),3,IF(AND(AW55&gt;=参照データ!$C$80,AW55&lt;=参照データ!$C$78),4,IF(AND(AW55&gt;=参照データ!$C$83,AW55&lt;=参照データ!$C$81),5,IF(AW55&lt;=参照データ!$C$84,6,0))))))</f>
        <v>#VALUE!</v>
      </c>
      <c r="AY55" t="e">
        <f>IF(AV55="男子",VLOOKUP(AX55,参照データ!$C$95:$D$100,2),AX55)</f>
        <v>#VALUE!</v>
      </c>
      <c r="AZ55" s="241" t="str">
        <f t="shared" si="72"/>
        <v/>
      </c>
      <c r="BA55" s="219" t="str">
        <f>IF($J55="○",VLOOKUP($AZ55,参照データ!$B$24:$G$41,3,0),"")</f>
        <v/>
      </c>
      <c r="BB55" s="220" t="str">
        <f>IF($K55="○",VLOOKUP($AZ55,参照データ!$B$24:$G$41,4,0),"")</f>
        <v/>
      </c>
      <c r="BC55" s="220" t="str">
        <f>IF($L55="○",VLOOKUP($AZ55,参照データ!$B$24:$G$41,5,0),"")</f>
        <v/>
      </c>
      <c r="BD55" s="220" t="str">
        <f>IF($M55="○",VLOOKUP($AZ55,参照データ!$B$24:$G$41,6,0),"")</f>
        <v/>
      </c>
      <c r="BE55" s="220" t="str">
        <f>IF($N55="○",VLOOKUP($AZ55,参照データ!$B$24:$H$41,7,0),"")</f>
        <v/>
      </c>
      <c r="BF55" s="221" t="str">
        <f>IF($O55="○",VLOOKUP($AZ55,参照データ!$B$24:$I$41,8,0),"")</f>
        <v/>
      </c>
      <c r="BG55" s="344" t="str">
        <f t="shared" si="18"/>
        <v/>
      </c>
      <c r="BH55" s="242" t="str">
        <f>IF($Q55="入門",VLOOKUP($AZ55,参照データ!$B$46:$U$63,3,0),IF($Q55="初級",VLOOKUP($AZ55,参照データ!$B$46:$U$63,4,0),IF($Q55="中級",VLOOKUP($AZ55,参照データ!$B$46:$U$63,5,0),IF($Q55="上級",VLOOKUP($AZ55,参照データ!$B$46:$U$63,6,0),""))))</f>
        <v/>
      </c>
      <c r="BI55" s="242" t="str">
        <f>IF($R55="初級",VLOOKUP($AZ55,参照データ!$B$46:$U$63,7,0),IF($R55="中級",VLOOKUP($AZ55,参照データ!$B$46:$U$63,8,0),IF($R55="上級",VLOOKUP($AZ55,参照データ!$B$46:$U$63,9,0),"")))</f>
        <v/>
      </c>
      <c r="BJ55" s="242" t="str">
        <f>IF($S55="初級",VLOOKUP($AZ55,参照データ!$B$46:$U$63,10,0),IF($S55="上級",VLOOKUP($AZ55,参照データ!$B$46:$U$63,11,0),""))</f>
        <v/>
      </c>
      <c r="BK55" s="242" t="str">
        <f>IF($T55="初級",VLOOKUP($AZ55,参照データ!$B$46:$U$63,15,0),IF($T55="中級",VLOOKUP($AZ55,参照データ!$B$46:$U$63,16,0),IF($T55="上級",VLOOKUP($AZ55,参照データ!$B$46:$U$63,17,0),"")))</f>
        <v/>
      </c>
      <c r="BL55" s="242" t="str">
        <f>IF($U55="初級",VLOOKUP($AZ55,参照データ!$B$46:$U$63,12,0),IF($U55="中級",VLOOKUP($AZ55,参照データ!$B$46:$U$63,13,0),IF($U55="上級",VLOOKUP($AZ55,参照データ!$B$46:$U$63,14,0),"")))</f>
        <v/>
      </c>
      <c r="BM55" s="21" t="str">
        <f t="shared" si="19"/>
        <v/>
      </c>
      <c r="BN55" s="21" t="str">
        <f>IF($V55="初級",VLOOKUP($AZ55,参照データ!$B$46:$U$63,18,0),IF($V55="中級",VLOOKUP($AZ55,参照データ!$B$46:$U$63,19,0),IF($V55="上級",VLOOKUP($AZ55,参照データ!$B$46:$U$63,20,0),"")))</f>
        <v/>
      </c>
      <c r="BO55" s="604">
        <v>22</v>
      </c>
      <c r="BP55" s="255" t="s">
        <v>282</v>
      </c>
      <c r="BQ55" s="251" t="str">
        <f t="shared" si="73"/>
        <v/>
      </c>
      <c r="BR55" s="594" t="str">
        <f>IF(OR($BQ55="",$BQ56=""),"",IF($BQ55&gt;$BQ56,$BQ55,$BQ56))</f>
        <v/>
      </c>
      <c r="BT55" s="241" t="e">
        <f t="shared" si="86"/>
        <v>#VALUE!</v>
      </c>
      <c r="BU55" s="245" t="str">
        <f>IF($X55="○",VLOOKUP($BT55,参照データ!$D$89:$F$100,3,0),"")</f>
        <v/>
      </c>
      <c r="BV55" s="246" t="str">
        <f t="shared" si="74"/>
        <v/>
      </c>
      <c r="BW55" s="245" t="str">
        <f>IF($Z55="○",VLOOKUP($BT55,参照データ!$D$89:$J$100,7,0),"")</f>
        <v/>
      </c>
      <c r="BX55" s="246" t="str">
        <f t="shared" si="75"/>
        <v/>
      </c>
      <c r="BY55" s="245" t="str">
        <f>IF($AB55="○",VLOOKUP($BT55,参照データ!$D$89:$N$100,11,0),"")</f>
        <v/>
      </c>
      <c r="BZ55" s="246" t="str">
        <f t="shared" si="76"/>
        <v/>
      </c>
      <c r="CA55" s="245" t="str">
        <f>IF($AD55="○",VLOOKUP($BT55,参照データ!$D$89:$T$100,17,0),"")</f>
        <v/>
      </c>
      <c r="CB55" s="246" t="str">
        <f t="shared" si="21"/>
        <v/>
      </c>
      <c r="CC55" s="245" t="str">
        <f>IF($AF55="○",VLOOKUP($BT55,参照データ!$D$89:$T$100,16,0),"")</f>
        <v/>
      </c>
      <c r="CD55" s="246" t="str">
        <f t="shared" si="22"/>
        <v/>
      </c>
      <c r="CE55" s="25">
        <f t="shared" si="23"/>
        <v>0</v>
      </c>
      <c r="CF55" s="312" t="e">
        <f t="shared" si="77"/>
        <v>#N/A</v>
      </c>
      <c r="CG55" s="300" t="str">
        <f t="shared" si="24"/>
        <v/>
      </c>
      <c r="CH55" s="648">
        <v>22</v>
      </c>
      <c r="CI55" s="256" t="s">
        <v>137</v>
      </c>
      <c r="CJ55" s="257" t="e">
        <f t="shared" si="78"/>
        <v>#N/A</v>
      </c>
      <c r="CK55" s="257" t="e">
        <f>VLOOKUP(CJ55,参照データ!$D$89:$R$100,15,0)</f>
        <v>#N/A</v>
      </c>
      <c r="CL55" s="649" t="e">
        <f>IF(OR($CJ55="",$CJ56=""),"",IF($CJ55&gt;$CJ56,$CK55,$CK56))</f>
        <v>#N/A</v>
      </c>
      <c r="CM55" s="289" t="e">
        <f>INDEX(参照データ!$Q$89:$Q$100,MATCH($CL55,参照データ!$R$89:$R$100,0))</f>
        <v>#N/A</v>
      </c>
      <c r="CN55" s="290" t="str">
        <f>IF($AJ55="○",VLOOKUP($BT55,参照データ!$D$89:$V$100,19,0),"")</f>
        <v/>
      </c>
      <c r="CO55" s="246" t="str">
        <f t="shared" si="25"/>
        <v/>
      </c>
      <c r="CQ55" t="e">
        <f>IF(AND($AW55&gt;=参照データ!$C$132,$AW55&lt;=参照データ!$C$130),1,IF(AND($AW55&gt;=参照データ!$C$135,$AW55&lt;=参照データ!$C$133),2,IF(AND($AW55&gt;=参照データ!$C$138,$AW55&lt;=参照データ!$C$136),3,IF($AW55&lt;=参照データ!$C$139,4,0))))</f>
        <v>#VALUE!</v>
      </c>
      <c r="CR55" t="e">
        <f>IF($AV55="男子",VLOOKUP(CQ55,参照データ!$C$143:$D$150,2),CQ55)</f>
        <v>#VALUE!</v>
      </c>
      <c r="CS55" s="388" t="e">
        <f t="shared" si="26"/>
        <v>#VALUE!</v>
      </c>
      <c r="CT55" s="389" t="str">
        <f>IF($AM55="○",VLOOKUP($CS55,参照データ!$D$143:$F$150,3,0),"")</f>
        <v/>
      </c>
      <c r="CU55" s="390" t="str">
        <f t="shared" si="52"/>
        <v/>
      </c>
      <c r="CV55">
        <f t="shared" si="39"/>
        <v>0</v>
      </c>
      <c r="CW55" s="312" t="e">
        <f t="shared" si="79"/>
        <v>#N/A</v>
      </c>
      <c r="CX55" s="391" t="str">
        <f t="shared" si="28"/>
        <v/>
      </c>
      <c r="CY55" s="724">
        <v>22</v>
      </c>
      <c r="CZ55" s="398" t="s">
        <v>137</v>
      </c>
      <c r="DA55" s="399" t="e">
        <f t="shared" si="40"/>
        <v>#N/A</v>
      </c>
      <c r="DB55" s="399" t="e">
        <f>VLOOKUP(DA55,参照データ!$D$143:$J$150,7,0)</f>
        <v>#N/A</v>
      </c>
      <c r="DC55" s="725" t="e">
        <f t="shared" ref="DC55" si="94">IF(OR($DA55="",$DA56=""),"",IF($DA55&gt;$DA56,$DB55,$DB56))</f>
        <v>#N/A</v>
      </c>
      <c r="DD55" s="400" t="e">
        <f>INDEX(参照データ!$I$143:$I$150,MATCH($DC55,参照データ!$J$143:$J$150,0))</f>
        <v>#N/A</v>
      </c>
      <c r="DF55" s="254">
        <f>(COUNTIF($J55:$O55,"&lt;&gt;"))*参照データ!$D$3</f>
        <v>0</v>
      </c>
      <c r="DG55" s="297">
        <f t="shared" si="29"/>
        <v>0</v>
      </c>
      <c r="DH55" s="157" cm="1">
        <f t="array" ref="DH55">(SUM(COUNTIF($Q55:$U55,{"入門","初級"}))*3000)+(SUM(COUNTIF($Q55:$U55,{"中級","上級"})*3500))</f>
        <v>0</v>
      </c>
      <c r="DI55" s="157">
        <f>IFERROR(VLOOKUP(V55,参照データ!$G$3:$I$6,3,0),0)</f>
        <v>0</v>
      </c>
      <c r="DJ55" s="469">
        <f t="shared" si="30"/>
        <v>0</v>
      </c>
      <c r="DK55" s="157">
        <f t="shared" si="31"/>
        <v>0</v>
      </c>
      <c r="DL55" s="157">
        <f t="shared" si="32"/>
        <v>0</v>
      </c>
      <c r="DM55" s="157">
        <f>(COUNTIF($AM55,"○"))*参照データ!$H$13</f>
        <v>0</v>
      </c>
      <c r="DN55" s="157">
        <f>(IF($AO55&gt;0,参照データ!$I$14,0))</f>
        <v>0</v>
      </c>
      <c r="DO55" s="249">
        <f t="array" ref="DO55">SUM(IF(ISERROR($DF55:$DN55),0,($DF55:$DN55)))</f>
        <v>0</v>
      </c>
      <c r="DP55" s="157"/>
      <c r="DQ55" s="157">
        <f t="shared" si="33"/>
        <v>0</v>
      </c>
      <c r="DR55" s="157">
        <f t="shared" si="34"/>
        <v>0</v>
      </c>
      <c r="DS55" s="157">
        <f t="shared" si="35"/>
        <v>0</v>
      </c>
      <c r="DT55" s="157">
        <f t="shared" si="36"/>
        <v>0</v>
      </c>
      <c r="DU55" s="157">
        <f t="shared" si="37"/>
        <v>0</v>
      </c>
      <c r="DV55" t="str">
        <f t="shared" si="81"/>
        <v/>
      </c>
    </row>
    <row r="56" spans="1:126" ht="18.75" customHeight="1" x14ac:dyDescent="0.2">
      <c r="A56">
        <v>44</v>
      </c>
      <c r="B56" s="183" t="str">
        <f>IF(D56="","",IF(D56="重複","",COUNTIF(B$13:$B55,"&gt;0")+1))</f>
        <v/>
      </c>
      <c r="C56" s="264"/>
      <c r="D56" s="134"/>
      <c r="E56" s="134"/>
      <c r="F56" s="135"/>
      <c r="G56" s="136"/>
      <c r="H56" s="169">
        <f t="shared" si="11"/>
        <v>0</v>
      </c>
      <c r="I56" s="170" t="str">
        <f t="shared" si="12"/>
        <v/>
      </c>
      <c r="J56" s="138"/>
      <c r="K56" s="138"/>
      <c r="L56" s="138"/>
      <c r="M56" s="139"/>
      <c r="N56" s="146"/>
      <c r="O56" s="141"/>
      <c r="P56" s="336"/>
      <c r="Q56" s="142"/>
      <c r="R56" s="143"/>
      <c r="S56" s="143"/>
      <c r="T56" s="144"/>
      <c r="U56" s="143"/>
      <c r="V56" s="267"/>
      <c r="W56" s="145"/>
      <c r="X56" s="269"/>
      <c r="Y56" s="148" t="str">
        <f>IF($X56="○",VLOOKUP($AY56,参照データ!$D$89:$E$100,2),"")</f>
        <v/>
      </c>
      <c r="Z56" s="271"/>
      <c r="AA56" s="148" t="str">
        <f>IF($Z56="○",VLOOKUP($AY56,参照データ!$D$89:$J$100,6),"")</f>
        <v/>
      </c>
      <c r="AB56" s="271"/>
      <c r="AC56" s="148" t="str">
        <f>IF($AB56="○",VLOOKUP($AY56,参照データ!$D$89:$N$100,10),"")</f>
        <v/>
      </c>
      <c r="AD56" s="271"/>
      <c r="AE56" s="148" t="str">
        <f>IF($AD56="○",VLOOKUP($AY56,参照データ!$D$89:$Q$100,14),"")</f>
        <v/>
      </c>
      <c r="AF56" s="271"/>
      <c r="AG56" s="148" t="str">
        <f>IF($AF56="○",VLOOKUP($AY56,参照データ!$D$89:$Q$100,14),"")</f>
        <v/>
      </c>
      <c r="AH56" s="266"/>
      <c r="AI56" s="370" t="str">
        <f t="shared" si="38"/>
        <v/>
      </c>
      <c r="AJ56" s="498"/>
      <c r="AK56" s="497" t="str">
        <f>IF($AJ56="○",VLOOKUP($AY56,参照データ!$D$89:$U$100,18),"")</f>
        <v/>
      </c>
      <c r="AL56" s="170" t="str">
        <f t="shared" si="13"/>
        <v/>
      </c>
      <c r="AM56" s="269"/>
      <c r="AN56" s="413" t="str">
        <f>IF($AM56="○",VLOOKUP($CR56,参照データ!$D$143:$E$150,2),"")</f>
        <v/>
      </c>
      <c r="AO56" s="416"/>
      <c r="AP56" s="366" t="str">
        <f t="shared" si="14"/>
        <v/>
      </c>
      <c r="AQ56" s="465"/>
      <c r="AR56" s="466"/>
      <c r="AU56" s="273" t="str">
        <f t="shared" si="82"/>
        <v/>
      </c>
      <c r="AV56" s="274" t="str">
        <f t="shared" si="83"/>
        <v/>
      </c>
      <c r="AW56" s="226" t="e">
        <f t="shared" si="17"/>
        <v>#VALUE!</v>
      </c>
      <c r="AX56" t="e">
        <f>IF(AND(AW56&gt;=参照データ!$C$71,AW56&lt;=参照データ!$C$69),1,IF(AND(AW56&gt;=参照データ!$C$74,AW56&lt;=参照データ!$C$72),2,IF(AND(AW56&gt;=参照データ!$C$77,AW56&lt;=参照データ!$C$75),3,IF(AND(AW56&gt;=参照データ!$C$80,AW56&lt;=参照データ!$C$78),4,IF(AND(AW56&gt;=参照データ!$C$83,AW56&lt;=参照データ!$C$81),5,IF(AW56&lt;=参照データ!$C$84,6,0))))))</f>
        <v>#VALUE!</v>
      </c>
      <c r="AY56" t="e">
        <f>IF(AV56="男子",VLOOKUP(AX56,参照データ!$C$95:$D$100,2),AX56)</f>
        <v>#VALUE!</v>
      </c>
      <c r="AZ56" s="241" t="str">
        <f t="shared" si="72"/>
        <v/>
      </c>
      <c r="BA56" s="219" t="str">
        <f>IF($J56="○",VLOOKUP($AZ56,参照データ!$B$24:$G$41,3,0),"")</f>
        <v/>
      </c>
      <c r="BB56" s="220" t="str">
        <f>IF($K56="○",VLOOKUP($AZ56,参照データ!$B$24:$G$41,4,0),"")</f>
        <v/>
      </c>
      <c r="BC56" s="220" t="str">
        <f>IF($L56="○",VLOOKUP($AZ56,参照データ!$B$24:$G$41,5,0),"")</f>
        <v/>
      </c>
      <c r="BD56" s="220" t="str">
        <f>IF($M56="○",VLOOKUP($AZ56,参照データ!$B$24:$G$41,6,0),"")</f>
        <v/>
      </c>
      <c r="BE56" s="220" t="str">
        <f>IF($N56="○",VLOOKUP($AZ56,参照データ!$B$24:$H$41,7,0),"")</f>
        <v/>
      </c>
      <c r="BF56" s="221" t="str">
        <f>IF($O56="○",VLOOKUP($AZ56,参照データ!$B$24:$I$41,8,0),"")</f>
        <v/>
      </c>
      <c r="BG56" s="344" t="str">
        <f t="shared" si="18"/>
        <v/>
      </c>
      <c r="BH56" s="242" t="str">
        <f>IF($Q56="入門",VLOOKUP($AZ56,参照データ!$B$46:$U$63,3,0),IF($Q56="初級",VLOOKUP($AZ56,参照データ!$B$46:$U$63,4,0),IF($Q56="中級",VLOOKUP($AZ56,参照データ!$B$46:$U$63,5,0),IF($Q56="上級",VLOOKUP($AZ56,参照データ!$B$46:$U$63,6,0),""))))</f>
        <v/>
      </c>
      <c r="BI56" s="242" t="str">
        <f>IF($R56="初級",VLOOKUP($AZ56,参照データ!$B$46:$U$63,7,0),IF($R56="中級",VLOOKUP($AZ56,参照データ!$B$46:$U$63,8,0),IF($R56="上級",VLOOKUP($AZ56,参照データ!$B$46:$U$63,9,0),"")))</f>
        <v/>
      </c>
      <c r="BJ56" s="242" t="str">
        <f>IF($S56="初級",VLOOKUP($AZ56,参照データ!$B$46:$U$63,10,0),IF($S56="上級",VLOOKUP($AZ56,参照データ!$B$46:$U$63,11,0),""))</f>
        <v/>
      </c>
      <c r="BK56" s="242" t="str">
        <f>IF($T56="初級",VLOOKUP($AZ56,参照データ!$B$46:$U$63,15,0),IF($T56="中級",VLOOKUP($AZ56,参照データ!$B$46:$U$63,16,0),IF($T56="上級",VLOOKUP($AZ56,参照データ!$B$46:$U$63,17,0),"")))</f>
        <v/>
      </c>
      <c r="BL56" s="242" t="str">
        <f>IF($U56="初級",VLOOKUP($AZ56,参照データ!$B$46:$U$63,12,0),IF($U56="中級",VLOOKUP($AZ56,参照データ!$B$46:$U$63,13,0),IF($U56="上級",VLOOKUP($AZ56,参照データ!$B$46:$U$63,14,0),"")))</f>
        <v/>
      </c>
      <c r="BM56" s="21" t="str">
        <f t="shared" si="19"/>
        <v/>
      </c>
      <c r="BN56" s="21" t="str">
        <f>IF($V56="初級",VLOOKUP($AZ56,参照データ!$B$46:$U$63,18,0),IF($V56="中級",VLOOKUP($AZ56,参照データ!$B$46:$U$63,19,0),IF($V56="上級",VLOOKUP($AZ56,参照データ!$B$46:$U$63,20,0),"")))</f>
        <v/>
      </c>
      <c r="BO56" s="587"/>
      <c r="BP56" s="250" t="s">
        <v>283</v>
      </c>
      <c r="BQ56" s="251" t="str">
        <f t="shared" si="73"/>
        <v/>
      </c>
      <c r="BR56" s="595"/>
      <c r="BT56" s="241" t="e">
        <f t="shared" si="86"/>
        <v>#VALUE!</v>
      </c>
      <c r="BU56" s="245" t="str">
        <f>IF($X56="○",VLOOKUP($BT56,参照データ!$D$89:$F$100,3,0),"")</f>
        <v/>
      </c>
      <c r="BV56" s="246" t="str">
        <f t="shared" si="74"/>
        <v/>
      </c>
      <c r="BW56" s="245" t="str">
        <f>IF($Z56="○",VLOOKUP($BT56,参照データ!$D$89:$J$100,7,0),"")</f>
        <v/>
      </c>
      <c r="BX56" s="246" t="str">
        <f t="shared" si="75"/>
        <v/>
      </c>
      <c r="BY56" s="245" t="str">
        <f>IF($AB56="○",VLOOKUP($BT56,参照データ!$D$89:$N$100,11,0),"")</f>
        <v/>
      </c>
      <c r="BZ56" s="246" t="str">
        <f t="shared" si="76"/>
        <v/>
      </c>
      <c r="CA56" s="245" t="str">
        <f>IF($AD56="○",VLOOKUP($BT56,参照データ!$D$89:$T$100,17,0),"")</f>
        <v/>
      </c>
      <c r="CB56" s="246" t="str">
        <f t="shared" si="21"/>
        <v/>
      </c>
      <c r="CC56" s="245" t="str">
        <f>IF($AF56="○",VLOOKUP($BT56,参照データ!$D$89:$T$100,16,0),"")</f>
        <v/>
      </c>
      <c r="CD56" s="246" t="str">
        <f t="shared" si="22"/>
        <v/>
      </c>
      <c r="CE56" s="25">
        <f t="shared" si="23"/>
        <v>0</v>
      </c>
      <c r="CF56" s="312" t="e">
        <f t="shared" si="77"/>
        <v>#N/A</v>
      </c>
      <c r="CG56" s="300" t="str">
        <f t="shared" si="24"/>
        <v/>
      </c>
      <c r="CH56" s="645"/>
      <c r="CI56" s="252" t="s">
        <v>138</v>
      </c>
      <c r="CJ56" s="253" t="e">
        <f t="shared" si="78"/>
        <v>#N/A</v>
      </c>
      <c r="CK56" s="253" t="e">
        <f>VLOOKUP(CJ56,参照データ!$D$89:$R$100,15,0)</f>
        <v>#N/A</v>
      </c>
      <c r="CL56" s="647"/>
      <c r="CM56" s="288" t="e">
        <f>CM55</f>
        <v>#N/A</v>
      </c>
      <c r="CN56" s="290" t="str">
        <f>IF($AJ56="○",VLOOKUP($BT56,参照データ!$D$89:$V$100,19,0),"")</f>
        <v/>
      </c>
      <c r="CO56" s="246" t="str">
        <f t="shared" si="25"/>
        <v/>
      </c>
      <c r="CQ56" t="e">
        <f>IF(AND($AW56&gt;=参照データ!$C$132,$AW56&lt;=参照データ!$C$130),1,IF(AND($AW56&gt;=参照データ!$C$135,$AW56&lt;=参照データ!$C$133),2,IF(AND($AW56&gt;=参照データ!$C$138,$AW56&lt;=参照データ!$C$136),3,IF($AW56&lt;=参照データ!$C$139,4,0))))</f>
        <v>#VALUE!</v>
      </c>
      <c r="CR56" t="e">
        <f>IF($AV56="男子",VLOOKUP(CQ56,参照データ!$C$143:$D$150,2),CQ56)</f>
        <v>#VALUE!</v>
      </c>
      <c r="CS56" s="388" t="e">
        <f t="shared" si="26"/>
        <v>#VALUE!</v>
      </c>
      <c r="CT56" s="389" t="str">
        <f>IF($AM56="○",VLOOKUP($CS56,参照データ!$D$143:$F$150,3,0),"")</f>
        <v/>
      </c>
      <c r="CU56" s="390" t="str">
        <f t="shared" si="52"/>
        <v/>
      </c>
      <c r="CV56">
        <f t="shared" si="39"/>
        <v>0</v>
      </c>
      <c r="CW56" s="312" t="e">
        <f t="shared" si="79"/>
        <v>#N/A</v>
      </c>
      <c r="CX56" s="391" t="str">
        <f t="shared" si="28"/>
        <v/>
      </c>
      <c r="CY56" s="721"/>
      <c r="CZ56" s="395" t="s">
        <v>138</v>
      </c>
      <c r="DA56" s="396" t="e">
        <f t="shared" si="40"/>
        <v>#N/A</v>
      </c>
      <c r="DB56" s="396" t="e">
        <f>VLOOKUP(DA56,参照データ!$D$143:$J$150,7,0)</f>
        <v>#N/A</v>
      </c>
      <c r="DC56" s="723"/>
      <c r="DD56" s="397" t="e">
        <f t="shared" ref="DD56" si="95">DD55</f>
        <v>#N/A</v>
      </c>
      <c r="DF56" s="254">
        <f>(COUNTIF($J56:$O56,"&lt;&gt;"))*参照データ!$D$3</f>
        <v>0</v>
      </c>
      <c r="DG56" s="297">
        <f t="shared" si="29"/>
        <v>0</v>
      </c>
      <c r="DH56" s="157" cm="1">
        <f t="array" ref="DH56">(SUM(COUNTIF($Q56:$U56,{"入門","初級"}))*3000)+(SUM(COUNTIF($Q56:$U56,{"中級","上級"})*3500))</f>
        <v>0</v>
      </c>
      <c r="DI56" s="157">
        <f>IFERROR(VLOOKUP(V56,参照データ!$G$3:$I$6,3,0),0)</f>
        <v>0</v>
      </c>
      <c r="DJ56" s="469">
        <f t="shared" si="30"/>
        <v>0</v>
      </c>
      <c r="DK56" s="157">
        <f t="shared" si="31"/>
        <v>0</v>
      </c>
      <c r="DL56" s="157">
        <f t="shared" si="32"/>
        <v>0</v>
      </c>
      <c r="DM56" s="157">
        <f>(COUNTIF($AM56,"○"))*参照データ!$H$13</f>
        <v>0</v>
      </c>
      <c r="DN56" s="157">
        <f>(IF($AO56&gt;0,参照データ!$I$14,0))</f>
        <v>0</v>
      </c>
      <c r="DO56" s="249">
        <f t="array" ref="DO56">SUM(IF(ISERROR($DF56:$DN56),0,($DF56:$DN56)))</f>
        <v>0</v>
      </c>
      <c r="DP56" s="157"/>
      <c r="DQ56" s="157">
        <f t="shared" si="33"/>
        <v>0</v>
      </c>
      <c r="DR56" s="157">
        <f t="shared" si="34"/>
        <v>0</v>
      </c>
      <c r="DS56" s="157">
        <f t="shared" si="35"/>
        <v>0</v>
      </c>
      <c r="DT56" s="157">
        <f t="shared" si="36"/>
        <v>0</v>
      </c>
      <c r="DU56" s="157">
        <f t="shared" si="37"/>
        <v>0</v>
      </c>
      <c r="DV56" t="str">
        <f t="shared" si="81"/>
        <v/>
      </c>
    </row>
    <row r="57" spans="1:126" ht="18.75" customHeight="1" x14ac:dyDescent="0.2">
      <c r="A57">
        <v>45</v>
      </c>
      <c r="B57" s="183" t="str">
        <f>IF(D57="","",IF(D57="重複","",COUNTIF(B$13:$B56,"&gt;0")+1))</f>
        <v/>
      </c>
      <c r="C57" s="264"/>
      <c r="D57" s="134"/>
      <c r="E57" s="134"/>
      <c r="F57" s="135"/>
      <c r="G57" s="136"/>
      <c r="H57" s="169">
        <f t="shared" si="11"/>
        <v>0</v>
      </c>
      <c r="I57" s="170" t="str">
        <f t="shared" si="12"/>
        <v/>
      </c>
      <c r="J57" s="138"/>
      <c r="K57" s="138"/>
      <c r="L57" s="138"/>
      <c r="M57" s="139"/>
      <c r="N57" s="146"/>
      <c r="O57" s="141"/>
      <c r="P57" s="336"/>
      <c r="Q57" s="142"/>
      <c r="R57" s="143"/>
      <c r="S57" s="143"/>
      <c r="T57" s="144"/>
      <c r="U57" s="143"/>
      <c r="V57" s="267"/>
      <c r="W57" s="145"/>
      <c r="X57" s="269"/>
      <c r="Y57" s="148" t="str">
        <f>IF($X57="○",VLOOKUP($AY57,参照データ!$D$89:$E$100,2),"")</f>
        <v/>
      </c>
      <c r="Z57" s="271"/>
      <c r="AA57" s="148" t="str">
        <f>IF($Z57="○",VLOOKUP($AY57,参照データ!$D$89:$J$100,6),"")</f>
        <v/>
      </c>
      <c r="AB57" s="271"/>
      <c r="AC57" s="148" t="str">
        <f>IF($AB57="○",VLOOKUP($AY57,参照データ!$D$89:$N$100,10),"")</f>
        <v/>
      </c>
      <c r="AD57" s="271"/>
      <c r="AE57" s="148" t="str">
        <f>IF($AD57="○",VLOOKUP($AY57,参照データ!$D$89:$Q$100,14),"")</f>
        <v/>
      </c>
      <c r="AF57" s="271"/>
      <c r="AG57" s="148" t="str">
        <f>IF($AF57="○",VLOOKUP($AY57,参照データ!$D$89:$Q$100,14),"")</f>
        <v/>
      </c>
      <c r="AH57" s="266"/>
      <c r="AI57" s="370" t="str">
        <f t="shared" si="38"/>
        <v/>
      </c>
      <c r="AJ57" s="498"/>
      <c r="AK57" s="497" t="str">
        <f>IF($AJ57="○",VLOOKUP($AY57,参照データ!$D$89:$U$100,18),"")</f>
        <v/>
      </c>
      <c r="AL57" s="170" t="str">
        <f t="shared" si="13"/>
        <v/>
      </c>
      <c r="AM57" s="269"/>
      <c r="AN57" s="413" t="str">
        <f>IF($AM57="○",VLOOKUP($CR57,参照データ!$D$143:$E$150,2),"")</f>
        <v/>
      </c>
      <c r="AO57" s="416"/>
      <c r="AP57" s="366" t="str">
        <f t="shared" si="14"/>
        <v/>
      </c>
      <c r="AQ57" s="465"/>
      <c r="AR57" s="466"/>
      <c r="AU57" s="273" t="str">
        <f t="shared" si="82"/>
        <v/>
      </c>
      <c r="AV57" s="274" t="str">
        <f t="shared" si="83"/>
        <v/>
      </c>
      <c r="AW57" s="226" t="e">
        <f t="shared" si="17"/>
        <v>#VALUE!</v>
      </c>
      <c r="AX57" t="e">
        <f>IF(AND(AW57&gt;=参照データ!$C$71,AW57&lt;=参照データ!$C$69),1,IF(AND(AW57&gt;=参照データ!$C$74,AW57&lt;=参照データ!$C$72),2,IF(AND(AW57&gt;=参照データ!$C$77,AW57&lt;=参照データ!$C$75),3,IF(AND(AW57&gt;=参照データ!$C$80,AW57&lt;=参照データ!$C$78),4,IF(AND(AW57&gt;=参照データ!$C$83,AW57&lt;=参照データ!$C$81),5,IF(AW57&lt;=参照データ!$C$84,6,0))))))</f>
        <v>#VALUE!</v>
      </c>
      <c r="AY57" t="e">
        <f>IF(AV57="男子",VLOOKUP(AX57,参照データ!$C$95:$D$100,2),AX57)</f>
        <v>#VALUE!</v>
      </c>
      <c r="AZ57" s="241" t="str">
        <f t="shared" si="72"/>
        <v/>
      </c>
      <c r="BA57" s="219" t="str">
        <f>IF($J57="○",VLOOKUP($AZ57,参照データ!$B$24:$G$41,3,0),"")</f>
        <v/>
      </c>
      <c r="BB57" s="220" t="str">
        <f>IF($K57="○",VLOOKUP($AZ57,参照データ!$B$24:$G$41,4,0),"")</f>
        <v/>
      </c>
      <c r="BC57" s="220" t="str">
        <f>IF($L57="○",VLOOKUP($AZ57,参照データ!$B$24:$G$41,5,0),"")</f>
        <v/>
      </c>
      <c r="BD57" s="220" t="str">
        <f>IF($M57="○",VLOOKUP($AZ57,参照データ!$B$24:$G$41,6,0),"")</f>
        <v/>
      </c>
      <c r="BE57" s="220" t="str">
        <f>IF($N57="○",VLOOKUP($AZ57,参照データ!$B$24:$H$41,7,0),"")</f>
        <v/>
      </c>
      <c r="BF57" s="221" t="str">
        <f>IF($O57="○",VLOOKUP($AZ57,参照データ!$B$24:$I$41,8,0),"")</f>
        <v/>
      </c>
      <c r="BG57" s="344" t="str">
        <f t="shared" si="18"/>
        <v/>
      </c>
      <c r="BH57" s="242" t="str">
        <f>IF($Q57="入門",VLOOKUP($AZ57,参照データ!$B$46:$U$63,3,0),IF($Q57="初級",VLOOKUP($AZ57,参照データ!$B$46:$U$63,4,0),IF($Q57="中級",VLOOKUP($AZ57,参照データ!$B$46:$U$63,5,0),IF($Q57="上級",VLOOKUP($AZ57,参照データ!$B$46:$U$63,6,0),""))))</f>
        <v/>
      </c>
      <c r="BI57" s="242" t="str">
        <f>IF($R57="初級",VLOOKUP($AZ57,参照データ!$B$46:$U$63,7,0),IF($R57="中級",VLOOKUP($AZ57,参照データ!$B$46:$U$63,8,0),IF($R57="上級",VLOOKUP($AZ57,参照データ!$B$46:$U$63,9,0),"")))</f>
        <v/>
      </c>
      <c r="BJ57" s="242" t="str">
        <f>IF($S57="初級",VLOOKUP($AZ57,参照データ!$B$46:$U$63,10,0),IF($S57="上級",VLOOKUP($AZ57,参照データ!$B$46:$U$63,11,0),""))</f>
        <v/>
      </c>
      <c r="BK57" s="242" t="str">
        <f>IF($T57="初級",VLOOKUP($AZ57,参照データ!$B$46:$U$63,15,0),IF($T57="中級",VLOOKUP($AZ57,参照データ!$B$46:$U$63,16,0),IF($T57="上級",VLOOKUP($AZ57,参照データ!$B$46:$U$63,17,0),"")))</f>
        <v/>
      </c>
      <c r="BL57" s="242" t="str">
        <f>IF($U57="初級",VLOOKUP($AZ57,参照データ!$B$46:$U$63,12,0),IF($U57="中級",VLOOKUP($AZ57,参照データ!$B$46:$U$63,13,0),IF($U57="上級",VLOOKUP($AZ57,参照データ!$B$46:$U$63,14,0),"")))</f>
        <v/>
      </c>
      <c r="BM57" s="21" t="str">
        <f t="shared" si="19"/>
        <v/>
      </c>
      <c r="BN57" s="21" t="str">
        <f>IF($V57="初級",VLOOKUP($AZ57,参照データ!$B$46:$U$63,18,0),IF($V57="中級",VLOOKUP($AZ57,参照データ!$B$46:$U$63,19,0),IF($V57="上級",VLOOKUP($AZ57,参照データ!$B$46:$U$63,20,0),"")))</f>
        <v/>
      </c>
      <c r="BO57" s="604">
        <v>23</v>
      </c>
      <c r="BP57" s="255" t="s">
        <v>284</v>
      </c>
      <c r="BQ57" s="251" t="str">
        <f t="shared" si="73"/>
        <v/>
      </c>
      <c r="BR57" s="594" t="str">
        <f>IF(OR($BQ57="",$BQ58=""),"",IF($BQ57&gt;$BQ58,$BQ57,$BQ58))</f>
        <v/>
      </c>
      <c r="BT57" s="241" t="e">
        <f t="shared" si="86"/>
        <v>#VALUE!</v>
      </c>
      <c r="BU57" s="245" t="str">
        <f>IF($X57="○",VLOOKUP($BT57,参照データ!$D$89:$F$100,3,0),"")</f>
        <v/>
      </c>
      <c r="BV57" s="246" t="str">
        <f t="shared" si="74"/>
        <v/>
      </c>
      <c r="BW57" s="245" t="str">
        <f>IF($Z57="○",VLOOKUP($BT57,参照データ!$D$89:$J$100,7,0),"")</f>
        <v/>
      </c>
      <c r="BX57" s="246" t="str">
        <f t="shared" si="75"/>
        <v/>
      </c>
      <c r="BY57" s="245" t="str">
        <f>IF($AB57="○",VLOOKUP($BT57,参照データ!$D$89:$N$100,11,0),"")</f>
        <v/>
      </c>
      <c r="BZ57" s="246" t="str">
        <f t="shared" si="76"/>
        <v/>
      </c>
      <c r="CA57" s="245" t="str">
        <f>IF($AD57="○",VLOOKUP($BT57,参照データ!$D$89:$T$100,17,0),"")</f>
        <v/>
      </c>
      <c r="CB57" s="246" t="str">
        <f t="shared" si="21"/>
        <v/>
      </c>
      <c r="CC57" s="245" t="str">
        <f>IF($AF57="○",VLOOKUP($BT57,参照データ!$D$89:$T$100,16,0),"")</f>
        <v/>
      </c>
      <c r="CD57" s="246" t="str">
        <f t="shared" si="22"/>
        <v/>
      </c>
      <c r="CE57" s="25">
        <f t="shared" si="23"/>
        <v>0</v>
      </c>
      <c r="CF57" s="312" t="e">
        <f t="shared" si="77"/>
        <v>#N/A</v>
      </c>
      <c r="CG57" s="300" t="str">
        <f t="shared" si="24"/>
        <v/>
      </c>
      <c r="CH57" s="648">
        <v>23</v>
      </c>
      <c r="CI57" s="256" t="s">
        <v>139</v>
      </c>
      <c r="CJ57" s="257" t="e">
        <f t="shared" si="78"/>
        <v>#N/A</v>
      </c>
      <c r="CK57" s="257" t="e">
        <f>VLOOKUP(CJ57,参照データ!$D$89:$R$100,15,0)</f>
        <v>#N/A</v>
      </c>
      <c r="CL57" s="649" t="e">
        <f>IF(OR($CJ57="",$CJ58=""),"",IF($CJ57&gt;$CJ58,$CK57,$CK58))</f>
        <v>#N/A</v>
      </c>
      <c r="CM57" s="289" t="e">
        <f>INDEX(参照データ!$Q$89:$Q$100,MATCH($CL57,参照データ!$R$89:$R$100,0))</f>
        <v>#N/A</v>
      </c>
      <c r="CN57" s="290" t="str">
        <f>IF($AJ57="○",VLOOKUP($BT57,参照データ!$D$89:$V$100,19,0),"")</f>
        <v/>
      </c>
      <c r="CO57" s="246" t="str">
        <f t="shared" si="25"/>
        <v/>
      </c>
      <c r="CQ57" t="e">
        <f>IF(AND($AW57&gt;=参照データ!$C$132,$AW57&lt;=参照データ!$C$130),1,IF(AND($AW57&gt;=参照データ!$C$135,$AW57&lt;=参照データ!$C$133),2,IF(AND($AW57&gt;=参照データ!$C$138,$AW57&lt;=参照データ!$C$136),3,IF($AW57&lt;=参照データ!$C$139,4,0))))</f>
        <v>#VALUE!</v>
      </c>
      <c r="CR57" t="e">
        <f>IF($AV57="男子",VLOOKUP(CQ57,参照データ!$C$143:$D$150,2),CQ57)</f>
        <v>#VALUE!</v>
      </c>
      <c r="CS57" s="388" t="e">
        <f t="shared" si="26"/>
        <v>#VALUE!</v>
      </c>
      <c r="CT57" s="389" t="str">
        <f>IF($AM57="○",VLOOKUP($CS57,参照データ!$D$143:$F$150,3,0),"")</f>
        <v/>
      </c>
      <c r="CU57" s="390" t="str">
        <f t="shared" si="52"/>
        <v/>
      </c>
      <c r="CV57">
        <f t="shared" si="39"/>
        <v>0</v>
      </c>
      <c r="CW57" s="312" t="e">
        <f t="shared" si="79"/>
        <v>#N/A</v>
      </c>
      <c r="CX57" s="391" t="str">
        <f t="shared" si="28"/>
        <v/>
      </c>
      <c r="CY57" s="724">
        <v>23</v>
      </c>
      <c r="CZ57" s="398" t="s">
        <v>139</v>
      </c>
      <c r="DA57" s="399" t="e">
        <f t="shared" si="40"/>
        <v>#N/A</v>
      </c>
      <c r="DB57" s="399" t="e">
        <f>VLOOKUP(DA57,参照データ!$D$143:$J$150,7,0)</f>
        <v>#N/A</v>
      </c>
      <c r="DC57" s="725" t="e">
        <f t="shared" ref="DC57" si="96">IF(OR($DA57="",$DA58=""),"",IF($DA57&gt;$DA58,$DB57,$DB58))</f>
        <v>#N/A</v>
      </c>
      <c r="DD57" s="400" t="e">
        <f>INDEX(参照データ!$I$143:$I$150,MATCH($DC57,参照データ!$J$143:$J$150,0))</f>
        <v>#N/A</v>
      </c>
      <c r="DF57" s="254">
        <f>(COUNTIF($J57:$O57,"&lt;&gt;"))*参照データ!$D$3</f>
        <v>0</v>
      </c>
      <c r="DG57" s="297">
        <f t="shared" si="29"/>
        <v>0</v>
      </c>
      <c r="DH57" s="157" cm="1">
        <f t="array" ref="DH57">(SUM(COUNTIF($Q57:$U57,{"入門","初級"}))*3000)+(SUM(COUNTIF($Q57:$U57,{"中級","上級"})*3500))</f>
        <v>0</v>
      </c>
      <c r="DI57" s="157">
        <f>IFERROR(VLOOKUP(V57,参照データ!$G$3:$I$6,3,0),0)</f>
        <v>0</v>
      </c>
      <c r="DJ57" s="469">
        <f t="shared" si="30"/>
        <v>0</v>
      </c>
      <c r="DK57" s="157">
        <f t="shared" si="31"/>
        <v>0</v>
      </c>
      <c r="DL57" s="157">
        <f t="shared" si="32"/>
        <v>0</v>
      </c>
      <c r="DM57" s="157">
        <f>(COUNTIF($AM57,"○"))*参照データ!$H$13</f>
        <v>0</v>
      </c>
      <c r="DN57" s="157">
        <f>(IF($AO57&gt;0,参照データ!$I$14,0))</f>
        <v>0</v>
      </c>
      <c r="DO57" s="249">
        <f t="array" ref="DO57">SUM(IF(ISERROR($DF57:$DN57),0,($DF57:$DN57)))</f>
        <v>0</v>
      </c>
      <c r="DP57" s="157"/>
      <c r="DQ57" s="157">
        <f t="shared" si="33"/>
        <v>0</v>
      </c>
      <c r="DR57" s="157">
        <f t="shared" si="34"/>
        <v>0</v>
      </c>
      <c r="DS57" s="157">
        <f t="shared" si="35"/>
        <v>0</v>
      </c>
      <c r="DT57" s="157">
        <f t="shared" si="36"/>
        <v>0</v>
      </c>
      <c r="DU57" s="157">
        <f t="shared" si="37"/>
        <v>0</v>
      </c>
      <c r="DV57" t="str">
        <f t="shared" si="81"/>
        <v/>
      </c>
    </row>
    <row r="58" spans="1:126" ht="18.75" customHeight="1" x14ac:dyDescent="0.2">
      <c r="A58">
        <v>46</v>
      </c>
      <c r="B58" s="183" t="str">
        <f>IF(D58="","",IF(D58="重複","",COUNTIF(B$13:$B57,"&gt;0")+1))</f>
        <v/>
      </c>
      <c r="C58" s="264"/>
      <c r="D58" s="134"/>
      <c r="E58" s="134"/>
      <c r="F58" s="135"/>
      <c r="G58" s="136"/>
      <c r="H58" s="169">
        <f t="shared" si="11"/>
        <v>0</v>
      </c>
      <c r="I58" s="170" t="str">
        <f t="shared" si="12"/>
        <v/>
      </c>
      <c r="J58" s="138"/>
      <c r="K58" s="138"/>
      <c r="L58" s="138"/>
      <c r="M58" s="139"/>
      <c r="N58" s="146"/>
      <c r="O58" s="141"/>
      <c r="P58" s="336"/>
      <c r="Q58" s="142"/>
      <c r="R58" s="143"/>
      <c r="S58" s="143"/>
      <c r="T58" s="144"/>
      <c r="U58" s="143"/>
      <c r="V58" s="267"/>
      <c r="W58" s="145"/>
      <c r="X58" s="269"/>
      <c r="Y58" s="148" t="str">
        <f>IF($X58="○",VLOOKUP($AY58,参照データ!$D$89:$E$100,2),"")</f>
        <v/>
      </c>
      <c r="Z58" s="271"/>
      <c r="AA58" s="148" t="str">
        <f>IF($Z58="○",VLOOKUP($AY58,参照データ!$D$89:$J$100,6),"")</f>
        <v/>
      </c>
      <c r="AB58" s="271"/>
      <c r="AC58" s="148" t="str">
        <f>IF($AB58="○",VLOOKUP($AY58,参照データ!$D$89:$N$100,10),"")</f>
        <v/>
      </c>
      <c r="AD58" s="271"/>
      <c r="AE58" s="148" t="str">
        <f>IF($AD58="○",VLOOKUP($AY58,参照データ!$D$89:$Q$100,14),"")</f>
        <v/>
      </c>
      <c r="AF58" s="271"/>
      <c r="AG58" s="148" t="str">
        <f>IF($AF58="○",VLOOKUP($AY58,参照データ!$D$89:$Q$100,14),"")</f>
        <v/>
      </c>
      <c r="AH58" s="266"/>
      <c r="AI58" s="370" t="str">
        <f t="shared" si="38"/>
        <v/>
      </c>
      <c r="AJ58" s="498"/>
      <c r="AK58" s="497" t="str">
        <f>IF($AJ58="○",VLOOKUP($AY58,参照データ!$D$89:$U$100,18),"")</f>
        <v/>
      </c>
      <c r="AL58" s="170" t="str">
        <f t="shared" si="13"/>
        <v/>
      </c>
      <c r="AM58" s="269"/>
      <c r="AN58" s="413" t="str">
        <f>IF($AM58="○",VLOOKUP($CR58,参照データ!$D$143:$E$150,2),"")</f>
        <v/>
      </c>
      <c r="AO58" s="416"/>
      <c r="AP58" s="366" t="str">
        <f t="shared" si="14"/>
        <v/>
      </c>
      <c r="AQ58" s="465"/>
      <c r="AR58" s="466"/>
      <c r="AU58" s="273" t="str">
        <f t="shared" si="82"/>
        <v/>
      </c>
      <c r="AV58" s="274" t="str">
        <f t="shared" si="83"/>
        <v/>
      </c>
      <c r="AW58" s="226" t="e">
        <f t="shared" si="17"/>
        <v>#VALUE!</v>
      </c>
      <c r="AX58" t="e">
        <f>IF(AND(AW58&gt;=参照データ!$C$71,AW58&lt;=参照データ!$C$69),1,IF(AND(AW58&gt;=参照データ!$C$74,AW58&lt;=参照データ!$C$72),2,IF(AND(AW58&gt;=参照データ!$C$77,AW58&lt;=参照データ!$C$75),3,IF(AND(AW58&gt;=参照データ!$C$80,AW58&lt;=参照データ!$C$78),4,IF(AND(AW58&gt;=参照データ!$C$83,AW58&lt;=参照データ!$C$81),5,IF(AW58&lt;=参照データ!$C$84,6,0))))))</f>
        <v>#VALUE!</v>
      </c>
      <c r="AY58" t="e">
        <f>IF(AV58="男子",VLOOKUP(AX58,参照データ!$C$95:$D$100,2),AX58)</f>
        <v>#VALUE!</v>
      </c>
      <c r="AZ58" s="241" t="str">
        <f t="shared" si="72"/>
        <v/>
      </c>
      <c r="BA58" s="219" t="str">
        <f>IF($J58="○",VLOOKUP($AZ58,参照データ!$B$24:$G$41,3,0),"")</f>
        <v/>
      </c>
      <c r="BB58" s="220" t="str">
        <f>IF($K58="○",VLOOKUP($AZ58,参照データ!$B$24:$G$41,4,0),"")</f>
        <v/>
      </c>
      <c r="BC58" s="220" t="str">
        <f>IF($L58="○",VLOOKUP($AZ58,参照データ!$B$24:$G$41,5,0),"")</f>
        <v/>
      </c>
      <c r="BD58" s="220" t="str">
        <f>IF($M58="○",VLOOKUP($AZ58,参照データ!$B$24:$G$41,6,0),"")</f>
        <v/>
      </c>
      <c r="BE58" s="220" t="str">
        <f>IF($N58="○",VLOOKUP($AZ58,参照データ!$B$24:$H$41,7,0),"")</f>
        <v/>
      </c>
      <c r="BF58" s="221" t="str">
        <f>IF($O58="○",VLOOKUP($AZ58,参照データ!$B$24:$I$41,8,0),"")</f>
        <v/>
      </c>
      <c r="BG58" s="344" t="str">
        <f t="shared" si="18"/>
        <v/>
      </c>
      <c r="BH58" s="242" t="str">
        <f>IF($Q58="入門",VLOOKUP($AZ58,参照データ!$B$46:$U$63,3,0),IF($Q58="初級",VLOOKUP($AZ58,参照データ!$B$46:$U$63,4,0),IF($Q58="中級",VLOOKUP($AZ58,参照データ!$B$46:$U$63,5,0),IF($Q58="上級",VLOOKUP($AZ58,参照データ!$B$46:$U$63,6,0),""))))</f>
        <v/>
      </c>
      <c r="BI58" s="242" t="str">
        <f>IF($R58="初級",VLOOKUP($AZ58,参照データ!$B$46:$U$63,7,0),IF($R58="中級",VLOOKUP($AZ58,参照データ!$B$46:$U$63,8,0),IF($R58="上級",VLOOKUP($AZ58,参照データ!$B$46:$U$63,9,0),"")))</f>
        <v/>
      </c>
      <c r="BJ58" s="242" t="str">
        <f>IF($S58="初級",VLOOKUP($AZ58,参照データ!$B$46:$U$63,10,0),IF($S58="上級",VLOOKUP($AZ58,参照データ!$B$46:$U$63,11,0),""))</f>
        <v/>
      </c>
      <c r="BK58" s="242" t="str">
        <f>IF($T58="初級",VLOOKUP($AZ58,参照データ!$B$46:$U$63,15,0),IF($T58="中級",VLOOKUP($AZ58,参照データ!$B$46:$U$63,16,0),IF($T58="上級",VLOOKUP($AZ58,参照データ!$B$46:$U$63,17,0),"")))</f>
        <v/>
      </c>
      <c r="BL58" s="242" t="str">
        <f>IF($U58="初級",VLOOKUP($AZ58,参照データ!$B$46:$U$63,12,0),IF($U58="中級",VLOOKUP($AZ58,参照データ!$B$46:$U$63,13,0),IF($U58="上級",VLOOKUP($AZ58,参照データ!$B$46:$U$63,14,0),"")))</f>
        <v/>
      </c>
      <c r="BM58" s="21" t="str">
        <f t="shared" si="19"/>
        <v/>
      </c>
      <c r="BN58" s="21" t="str">
        <f>IF($V58="初級",VLOOKUP($AZ58,参照データ!$B$46:$U$63,18,0),IF($V58="中級",VLOOKUP($AZ58,参照データ!$B$46:$U$63,19,0),IF($V58="上級",VLOOKUP($AZ58,参照データ!$B$46:$U$63,20,0),"")))</f>
        <v/>
      </c>
      <c r="BO58" s="587"/>
      <c r="BP58" s="250" t="s">
        <v>285</v>
      </c>
      <c r="BQ58" s="251" t="str">
        <f t="shared" si="73"/>
        <v/>
      </c>
      <c r="BR58" s="595"/>
      <c r="BT58" s="241" t="e">
        <f t="shared" si="86"/>
        <v>#VALUE!</v>
      </c>
      <c r="BU58" s="245" t="str">
        <f>IF($X58="○",VLOOKUP($BT58,参照データ!$D$89:$F$100,3,0),"")</f>
        <v/>
      </c>
      <c r="BV58" s="246" t="str">
        <f t="shared" si="74"/>
        <v/>
      </c>
      <c r="BW58" s="245" t="str">
        <f>IF($Z58="○",VLOOKUP($BT58,参照データ!$D$89:$J$100,7,0),"")</f>
        <v/>
      </c>
      <c r="BX58" s="246" t="str">
        <f t="shared" si="75"/>
        <v/>
      </c>
      <c r="BY58" s="245" t="str">
        <f>IF($AB58="○",VLOOKUP($BT58,参照データ!$D$89:$N$100,11,0),"")</f>
        <v/>
      </c>
      <c r="BZ58" s="246" t="str">
        <f t="shared" si="76"/>
        <v/>
      </c>
      <c r="CA58" s="245" t="str">
        <f>IF($AD58="○",VLOOKUP($BT58,参照データ!$D$89:$T$100,17,0),"")</f>
        <v/>
      </c>
      <c r="CB58" s="246" t="str">
        <f t="shared" si="21"/>
        <v/>
      </c>
      <c r="CC58" s="245" t="str">
        <f>IF($AF58="○",VLOOKUP($BT58,参照データ!$D$89:$T$100,16,0),"")</f>
        <v/>
      </c>
      <c r="CD58" s="246" t="str">
        <f t="shared" si="22"/>
        <v/>
      </c>
      <c r="CE58" s="25">
        <f t="shared" si="23"/>
        <v>0</v>
      </c>
      <c r="CF58" s="312" t="e">
        <f t="shared" si="77"/>
        <v>#N/A</v>
      </c>
      <c r="CG58" s="300" t="str">
        <f t="shared" si="24"/>
        <v/>
      </c>
      <c r="CH58" s="645"/>
      <c r="CI58" s="252" t="s">
        <v>140</v>
      </c>
      <c r="CJ58" s="253" t="e">
        <f t="shared" si="78"/>
        <v>#N/A</v>
      </c>
      <c r="CK58" s="253" t="e">
        <f>VLOOKUP(CJ58,参照データ!$D$89:$R$100,15,0)</f>
        <v>#N/A</v>
      </c>
      <c r="CL58" s="647"/>
      <c r="CM58" s="288" t="e">
        <f>CM57</f>
        <v>#N/A</v>
      </c>
      <c r="CN58" s="290" t="str">
        <f>IF($AJ58="○",VLOOKUP($BT58,参照データ!$D$89:$V$100,19,0),"")</f>
        <v/>
      </c>
      <c r="CO58" s="246" t="str">
        <f t="shared" si="25"/>
        <v/>
      </c>
      <c r="CQ58" t="e">
        <f>IF(AND($AW58&gt;=参照データ!$C$132,$AW58&lt;=参照データ!$C$130),1,IF(AND($AW58&gt;=参照データ!$C$135,$AW58&lt;=参照データ!$C$133),2,IF(AND($AW58&gt;=参照データ!$C$138,$AW58&lt;=参照データ!$C$136),3,IF($AW58&lt;=参照データ!$C$139,4,0))))</f>
        <v>#VALUE!</v>
      </c>
      <c r="CR58" t="e">
        <f>IF($AV58="男子",VLOOKUP(CQ58,参照データ!$C$143:$D$150,2),CQ58)</f>
        <v>#VALUE!</v>
      </c>
      <c r="CS58" s="388" t="e">
        <f t="shared" si="26"/>
        <v>#VALUE!</v>
      </c>
      <c r="CT58" s="389" t="str">
        <f>IF($AM58="○",VLOOKUP($CS58,参照データ!$D$143:$F$150,3,0),"")</f>
        <v/>
      </c>
      <c r="CU58" s="390" t="str">
        <f t="shared" si="52"/>
        <v/>
      </c>
      <c r="CV58">
        <f t="shared" si="39"/>
        <v>0</v>
      </c>
      <c r="CW58" s="312" t="e">
        <f t="shared" si="79"/>
        <v>#N/A</v>
      </c>
      <c r="CX58" s="391" t="str">
        <f t="shared" si="28"/>
        <v/>
      </c>
      <c r="CY58" s="721"/>
      <c r="CZ58" s="395" t="s">
        <v>140</v>
      </c>
      <c r="DA58" s="396" t="e">
        <f t="shared" si="40"/>
        <v>#N/A</v>
      </c>
      <c r="DB58" s="396" t="e">
        <f>VLOOKUP(DA58,参照データ!$D$143:$J$150,7,0)</f>
        <v>#N/A</v>
      </c>
      <c r="DC58" s="723"/>
      <c r="DD58" s="397" t="e">
        <f t="shared" ref="DD58" si="97">DD57</f>
        <v>#N/A</v>
      </c>
      <c r="DF58" s="254">
        <f>(COUNTIF($J58:$O58,"&lt;&gt;"))*参照データ!$D$3</f>
        <v>0</v>
      </c>
      <c r="DG58" s="297">
        <f t="shared" si="29"/>
        <v>0</v>
      </c>
      <c r="DH58" s="157" cm="1">
        <f t="array" ref="DH58">(SUM(COUNTIF($Q58:$U58,{"入門","初級"}))*3000)+(SUM(COUNTIF($Q58:$U58,{"中級","上級"})*3500))</f>
        <v>0</v>
      </c>
      <c r="DI58" s="157">
        <f>IFERROR(VLOOKUP(V58,参照データ!$G$3:$I$6,3,0),0)</f>
        <v>0</v>
      </c>
      <c r="DJ58" s="469">
        <f t="shared" si="30"/>
        <v>0</v>
      </c>
      <c r="DK58" s="157">
        <f t="shared" si="31"/>
        <v>0</v>
      </c>
      <c r="DL58" s="157">
        <f t="shared" si="32"/>
        <v>0</v>
      </c>
      <c r="DM58" s="157">
        <f>(COUNTIF($AM58,"○"))*参照データ!$H$13</f>
        <v>0</v>
      </c>
      <c r="DN58" s="157">
        <f>(IF($AO58&gt;0,参照データ!$I$14,0))</f>
        <v>0</v>
      </c>
      <c r="DO58" s="249">
        <f t="array" ref="DO58">SUM(IF(ISERROR($DF58:$DN58),0,($DF58:$DN58)))</f>
        <v>0</v>
      </c>
      <c r="DP58" s="157"/>
      <c r="DQ58" s="157">
        <f t="shared" si="33"/>
        <v>0</v>
      </c>
      <c r="DR58" s="157">
        <f t="shared" si="34"/>
        <v>0</v>
      </c>
      <c r="DS58" s="157">
        <f t="shared" si="35"/>
        <v>0</v>
      </c>
      <c r="DT58" s="157">
        <f t="shared" si="36"/>
        <v>0</v>
      </c>
      <c r="DU58" s="157">
        <f t="shared" si="37"/>
        <v>0</v>
      </c>
      <c r="DV58" t="str">
        <f t="shared" si="81"/>
        <v/>
      </c>
    </row>
    <row r="59" spans="1:126" ht="18.75" customHeight="1" x14ac:dyDescent="0.2">
      <c r="A59">
        <v>47</v>
      </c>
      <c r="B59" s="183" t="str">
        <f>IF(D59="","",IF(D59="重複","",COUNTIF(B$13:$B58,"&gt;0")+1))</f>
        <v/>
      </c>
      <c r="C59" s="264"/>
      <c r="D59" s="134"/>
      <c r="E59" s="134"/>
      <c r="F59" s="135"/>
      <c r="G59" s="136"/>
      <c r="H59" s="169">
        <f t="shared" si="11"/>
        <v>0</v>
      </c>
      <c r="I59" s="170" t="str">
        <f t="shared" si="12"/>
        <v/>
      </c>
      <c r="J59" s="138"/>
      <c r="K59" s="138"/>
      <c r="L59" s="138"/>
      <c r="M59" s="139"/>
      <c r="N59" s="146"/>
      <c r="O59" s="141"/>
      <c r="P59" s="336"/>
      <c r="Q59" s="142"/>
      <c r="R59" s="143"/>
      <c r="S59" s="143"/>
      <c r="T59" s="144"/>
      <c r="U59" s="143"/>
      <c r="V59" s="267"/>
      <c r="W59" s="145"/>
      <c r="X59" s="269"/>
      <c r="Y59" s="148" t="str">
        <f>IF($X59="○",VLOOKUP($AY59,参照データ!$D$89:$E$100,2),"")</f>
        <v/>
      </c>
      <c r="Z59" s="271"/>
      <c r="AA59" s="148" t="str">
        <f>IF($Z59="○",VLOOKUP($AY59,参照データ!$D$89:$J$100,6),"")</f>
        <v/>
      </c>
      <c r="AB59" s="271"/>
      <c r="AC59" s="148" t="str">
        <f>IF($AB59="○",VLOOKUP($AY59,参照データ!$D$89:$N$100,10),"")</f>
        <v/>
      </c>
      <c r="AD59" s="271"/>
      <c r="AE59" s="148" t="str">
        <f>IF($AD59="○",VLOOKUP($AY59,参照データ!$D$89:$Q$100,14),"")</f>
        <v/>
      </c>
      <c r="AF59" s="271"/>
      <c r="AG59" s="148" t="str">
        <f>IF($AF59="○",VLOOKUP($AY59,参照データ!$D$89:$Q$100,14),"")</f>
        <v/>
      </c>
      <c r="AH59" s="266"/>
      <c r="AI59" s="370" t="str">
        <f t="shared" si="38"/>
        <v/>
      </c>
      <c r="AJ59" s="498"/>
      <c r="AK59" s="497" t="str">
        <f>IF($AJ59="○",VLOOKUP($AY59,参照データ!$D$89:$U$100,18),"")</f>
        <v/>
      </c>
      <c r="AL59" s="170" t="str">
        <f t="shared" si="13"/>
        <v/>
      </c>
      <c r="AM59" s="269"/>
      <c r="AN59" s="413" t="str">
        <f>IF($AM59="○",VLOOKUP($CR59,参照データ!$D$143:$E$150,2),"")</f>
        <v/>
      </c>
      <c r="AO59" s="416"/>
      <c r="AP59" s="366" t="str">
        <f t="shared" si="14"/>
        <v/>
      </c>
      <c r="AQ59" s="465"/>
      <c r="AR59" s="466"/>
      <c r="AU59" s="273" t="str">
        <f t="shared" si="82"/>
        <v/>
      </c>
      <c r="AV59" s="274" t="str">
        <f t="shared" si="83"/>
        <v/>
      </c>
      <c r="AW59" s="226" t="e">
        <f t="shared" si="17"/>
        <v>#VALUE!</v>
      </c>
      <c r="AX59" t="e">
        <f>IF(AND(AW59&gt;=参照データ!$C$71,AW59&lt;=参照データ!$C$69),1,IF(AND(AW59&gt;=参照データ!$C$74,AW59&lt;=参照データ!$C$72),2,IF(AND(AW59&gt;=参照データ!$C$77,AW59&lt;=参照データ!$C$75),3,IF(AND(AW59&gt;=参照データ!$C$80,AW59&lt;=参照データ!$C$78),4,IF(AND(AW59&gt;=参照データ!$C$83,AW59&lt;=参照データ!$C$81),5,IF(AW59&lt;=参照データ!$C$84,6,0))))))</f>
        <v>#VALUE!</v>
      </c>
      <c r="AY59" t="e">
        <f>IF(AV59="男子",VLOOKUP(AX59,参照データ!$C$95:$D$100,2),AX59)</f>
        <v>#VALUE!</v>
      </c>
      <c r="AZ59" s="241" t="str">
        <f t="shared" si="72"/>
        <v/>
      </c>
      <c r="BA59" s="219" t="str">
        <f>IF($J59="○",VLOOKUP($AZ59,参照データ!$B$24:$G$41,3,0),"")</f>
        <v/>
      </c>
      <c r="BB59" s="220" t="str">
        <f>IF($K59="○",VLOOKUP($AZ59,参照データ!$B$24:$G$41,4,0),"")</f>
        <v/>
      </c>
      <c r="BC59" s="220" t="str">
        <f>IF($L59="○",VLOOKUP($AZ59,参照データ!$B$24:$G$41,5,0),"")</f>
        <v/>
      </c>
      <c r="BD59" s="220" t="str">
        <f>IF($M59="○",VLOOKUP($AZ59,参照データ!$B$24:$G$41,6,0),"")</f>
        <v/>
      </c>
      <c r="BE59" s="220" t="str">
        <f>IF($N59="○",VLOOKUP($AZ59,参照データ!$B$24:$H$41,7,0),"")</f>
        <v/>
      </c>
      <c r="BF59" s="221" t="str">
        <f>IF($O59="○",VLOOKUP($AZ59,参照データ!$B$24:$I$41,8,0),"")</f>
        <v/>
      </c>
      <c r="BG59" s="344" t="str">
        <f t="shared" si="18"/>
        <v/>
      </c>
      <c r="BH59" s="242" t="str">
        <f>IF($Q59="入門",VLOOKUP($AZ59,参照データ!$B$46:$U$63,3,0),IF($Q59="初級",VLOOKUP($AZ59,参照データ!$B$46:$U$63,4,0),IF($Q59="中級",VLOOKUP($AZ59,参照データ!$B$46:$U$63,5,0),IF($Q59="上級",VLOOKUP($AZ59,参照データ!$B$46:$U$63,6,0),""))))</f>
        <v/>
      </c>
      <c r="BI59" s="242" t="str">
        <f>IF($R59="初級",VLOOKUP($AZ59,参照データ!$B$46:$U$63,7,0),IF($R59="中級",VLOOKUP($AZ59,参照データ!$B$46:$U$63,8,0),IF($R59="上級",VLOOKUP($AZ59,参照データ!$B$46:$U$63,9,0),"")))</f>
        <v/>
      </c>
      <c r="BJ59" s="242" t="str">
        <f>IF($S59="初級",VLOOKUP($AZ59,参照データ!$B$46:$U$63,10,0),IF($S59="上級",VLOOKUP($AZ59,参照データ!$B$46:$U$63,11,0),""))</f>
        <v/>
      </c>
      <c r="BK59" s="242" t="str">
        <f>IF($T59="初級",VLOOKUP($AZ59,参照データ!$B$46:$U$63,15,0),IF($T59="中級",VLOOKUP($AZ59,参照データ!$B$46:$U$63,16,0),IF($T59="上級",VLOOKUP($AZ59,参照データ!$B$46:$U$63,17,0),"")))</f>
        <v/>
      </c>
      <c r="BL59" s="242" t="str">
        <f>IF($U59="初級",VLOOKUP($AZ59,参照データ!$B$46:$U$63,12,0),IF($U59="中級",VLOOKUP($AZ59,参照データ!$B$46:$U$63,13,0),IF($U59="上級",VLOOKUP($AZ59,参照データ!$B$46:$U$63,14,0),"")))</f>
        <v/>
      </c>
      <c r="BM59" s="21" t="str">
        <f t="shared" si="19"/>
        <v/>
      </c>
      <c r="BN59" s="21" t="str">
        <f>IF($V59="初級",VLOOKUP($AZ59,参照データ!$B$46:$U$63,18,0),IF($V59="中級",VLOOKUP($AZ59,参照データ!$B$46:$U$63,19,0),IF($V59="上級",VLOOKUP($AZ59,参照データ!$B$46:$U$63,20,0),"")))</f>
        <v/>
      </c>
      <c r="BO59" s="604">
        <v>24</v>
      </c>
      <c r="BP59" s="255" t="s">
        <v>286</v>
      </c>
      <c r="BQ59" s="251" t="str">
        <f t="shared" si="73"/>
        <v/>
      </c>
      <c r="BR59" s="594" t="str">
        <f>IF(OR($BQ59="",$BQ60=""),"",IF($BQ59&gt;$BQ60,$BQ59,$BQ60))</f>
        <v/>
      </c>
      <c r="BT59" s="241" t="e">
        <f t="shared" si="86"/>
        <v>#VALUE!</v>
      </c>
      <c r="BU59" s="245" t="str">
        <f>IF($X59="○",VLOOKUP($BT59,参照データ!$D$89:$F$100,3,0),"")</f>
        <v/>
      </c>
      <c r="BV59" s="246" t="str">
        <f t="shared" si="74"/>
        <v/>
      </c>
      <c r="BW59" s="245" t="str">
        <f>IF($Z59="○",VLOOKUP($BT59,参照データ!$D$89:$J$100,7,0),"")</f>
        <v/>
      </c>
      <c r="BX59" s="246" t="str">
        <f t="shared" si="75"/>
        <v/>
      </c>
      <c r="BY59" s="245" t="str">
        <f>IF($AB59="○",VLOOKUP($BT59,参照データ!$D$89:$N$100,11,0),"")</f>
        <v/>
      </c>
      <c r="BZ59" s="246" t="str">
        <f t="shared" si="76"/>
        <v/>
      </c>
      <c r="CA59" s="245" t="str">
        <f>IF($AD59="○",VLOOKUP($BT59,参照データ!$D$89:$T$100,17,0),"")</f>
        <v/>
      </c>
      <c r="CB59" s="246" t="str">
        <f t="shared" si="21"/>
        <v/>
      </c>
      <c r="CC59" s="245" t="str">
        <f>IF($AF59="○",VLOOKUP($BT59,参照データ!$D$89:$T$100,16,0),"")</f>
        <v/>
      </c>
      <c r="CD59" s="246" t="str">
        <f t="shared" si="22"/>
        <v/>
      </c>
      <c r="CE59" s="25">
        <f t="shared" si="23"/>
        <v>0</v>
      </c>
      <c r="CF59" s="312" t="e">
        <f t="shared" si="77"/>
        <v>#N/A</v>
      </c>
      <c r="CG59" s="300" t="str">
        <f t="shared" si="24"/>
        <v/>
      </c>
      <c r="CH59" s="648">
        <v>24</v>
      </c>
      <c r="CI59" s="256" t="s">
        <v>141</v>
      </c>
      <c r="CJ59" s="257" t="e">
        <f t="shared" si="78"/>
        <v>#N/A</v>
      </c>
      <c r="CK59" s="257" t="e">
        <f>VLOOKUP(CJ59,参照データ!$D$89:$R$100,15,0)</f>
        <v>#N/A</v>
      </c>
      <c r="CL59" s="649" t="e">
        <f>IF(OR($CJ59="",$CJ60=""),"",IF($CJ59&gt;$CJ60,$CK59,$CK60))</f>
        <v>#N/A</v>
      </c>
      <c r="CM59" s="289" t="e">
        <f>INDEX(参照データ!$Q$89:$Q$100,MATCH($CL59,参照データ!$R$89:$R$100,0))</f>
        <v>#N/A</v>
      </c>
      <c r="CN59" s="290" t="str">
        <f>IF($AJ59="○",VLOOKUP($BT59,参照データ!$D$89:$V$100,19,0),"")</f>
        <v/>
      </c>
      <c r="CO59" s="246" t="str">
        <f t="shared" si="25"/>
        <v/>
      </c>
      <c r="CQ59" t="e">
        <f>IF(AND($AW59&gt;=参照データ!$C$132,$AW59&lt;=参照データ!$C$130),1,IF(AND($AW59&gt;=参照データ!$C$135,$AW59&lt;=参照データ!$C$133),2,IF(AND($AW59&gt;=参照データ!$C$138,$AW59&lt;=参照データ!$C$136),3,IF($AW59&lt;=参照データ!$C$139,4,0))))</f>
        <v>#VALUE!</v>
      </c>
      <c r="CR59" t="e">
        <f>IF($AV59="男子",VLOOKUP(CQ59,参照データ!$C$143:$D$150,2),CQ59)</f>
        <v>#VALUE!</v>
      </c>
      <c r="CS59" s="388" t="e">
        <f t="shared" si="26"/>
        <v>#VALUE!</v>
      </c>
      <c r="CT59" s="389" t="str">
        <f>IF($AM59="○",VLOOKUP($CS59,参照データ!$D$143:$F$150,3,0),"")</f>
        <v/>
      </c>
      <c r="CU59" s="390" t="str">
        <f t="shared" si="52"/>
        <v/>
      </c>
      <c r="CV59">
        <f t="shared" si="39"/>
        <v>0</v>
      </c>
      <c r="CW59" s="312" t="e">
        <f t="shared" si="79"/>
        <v>#N/A</v>
      </c>
      <c r="CX59" s="391" t="str">
        <f t="shared" si="28"/>
        <v/>
      </c>
      <c r="CY59" s="724">
        <v>24</v>
      </c>
      <c r="CZ59" s="398" t="s">
        <v>141</v>
      </c>
      <c r="DA59" s="399" t="e">
        <f t="shared" si="40"/>
        <v>#N/A</v>
      </c>
      <c r="DB59" s="399" t="e">
        <f>VLOOKUP(DA59,参照データ!$D$143:$J$150,7,0)</f>
        <v>#N/A</v>
      </c>
      <c r="DC59" s="725" t="e">
        <f t="shared" ref="DC59" si="98">IF(OR($DA59="",$DA60=""),"",IF($DA59&gt;$DA60,$DB59,$DB60))</f>
        <v>#N/A</v>
      </c>
      <c r="DD59" s="400" t="e">
        <f>INDEX(参照データ!$I$143:$I$150,MATCH($DC59,参照データ!$J$143:$J$150,0))</f>
        <v>#N/A</v>
      </c>
      <c r="DF59" s="254">
        <f>(COUNTIF($J59:$O59,"&lt;&gt;"))*参照データ!$D$3</f>
        <v>0</v>
      </c>
      <c r="DG59" s="297">
        <f t="shared" si="29"/>
        <v>0</v>
      </c>
      <c r="DH59" s="157" cm="1">
        <f t="array" ref="DH59">(SUM(COUNTIF($Q59:$U59,{"入門","初級"}))*3000)+(SUM(COUNTIF($Q59:$U59,{"中級","上級"})*3500))</f>
        <v>0</v>
      </c>
      <c r="DI59" s="157">
        <f>IFERROR(VLOOKUP(V59,参照データ!$G$3:$I$6,3,0),0)</f>
        <v>0</v>
      </c>
      <c r="DJ59" s="469">
        <f t="shared" si="30"/>
        <v>0</v>
      </c>
      <c r="DK59" s="157">
        <f t="shared" si="31"/>
        <v>0</v>
      </c>
      <c r="DL59" s="157">
        <f t="shared" si="32"/>
        <v>0</v>
      </c>
      <c r="DM59" s="157">
        <f>(COUNTIF($AM59,"○"))*参照データ!$H$13</f>
        <v>0</v>
      </c>
      <c r="DN59" s="157">
        <f>(IF($AO59&gt;0,参照データ!$I$14,0))</f>
        <v>0</v>
      </c>
      <c r="DO59" s="249">
        <f t="array" ref="DO59">SUM(IF(ISERROR($DF59:$DN59),0,($DF59:$DN59)))</f>
        <v>0</v>
      </c>
      <c r="DP59" s="157"/>
      <c r="DQ59" s="157">
        <f t="shared" si="33"/>
        <v>0</v>
      </c>
      <c r="DR59" s="157">
        <f t="shared" si="34"/>
        <v>0</v>
      </c>
      <c r="DS59" s="157">
        <f t="shared" si="35"/>
        <v>0</v>
      </c>
      <c r="DT59" s="157">
        <f t="shared" si="36"/>
        <v>0</v>
      </c>
      <c r="DU59" s="157">
        <f t="shared" si="37"/>
        <v>0</v>
      </c>
      <c r="DV59" t="str">
        <f t="shared" si="81"/>
        <v/>
      </c>
    </row>
    <row r="60" spans="1:126" ht="18.75" customHeight="1" x14ac:dyDescent="0.2">
      <c r="A60">
        <v>48</v>
      </c>
      <c r="B60" s="183" t="str">
        <f>IF(D60="","",IF(D60="重複","",COUNTIF(B$13:$B59,"&gt;0")+1))</f>
        <v/>
      </c>
      <c r="C60" s="264"/>
      <c r="D60" s="134"/>
      <c r="E60" s="134"/>
      <c r="F60" s="135"/>
      <c r="G60" s="136"/>
      <c r="H60" s="169">
        <f t="shared" si="11"/>
        <v>0</v>
      </c>
      <c r="I60" s="170" t="str">
        <f t="shared" si="12"/>
        <v/>
      </c>
      <c r="J60" s="138"/>
      <c r="K60" s="138"/>
      <c r="L60" s="138"/>
      <c r="M60" s="139"/>
      <c r="N60" s="146"/>
      <c r="O60" s="141"/>
      <c r="P60" s="336"/>
      <c r="Q60" s="142"/>
      <c r="R60" s="143"/>
      <c r="S60" s="143"/>
      <c r="T60" s="144"/>
      <c r="U60" s="143"/>
      <c r="V60" s="267"/>
      <c r="W60" s="145"/>
      <c r="X60" s="269"/>
      <c r="Y60" s="148" t="str">
        <f>IF($X60="○",VLOOKUP($AY60,参照データ!$D$89:$E$100,2),"")</f>
        <v/>
      </c>
      <c r="Z60" s="271"/>
      <c r="AA60" s="148" t="str">
        <f>IF($Z60="○",VLOOKUP($AY60,参照データ!$D$89:$J$100,6),"")</f>
        <v/>
      </c>
      <c r="AB60" s="271"/>
      <c r="AC60" s="148" t="str">
        <f>IF($AB60="○",VLOOKUP($AY60,参照データ!$D$89:$N$100,10),"")</f>
        <v/>
      </c>
      <c r="AD60" s="271"/>
      <c r="AE60" s="148" t="str">
        <f>IF($AD60="○",VLOOKUP($AY60,参照データ!$D$89:$Q$100,14),"")</f>
        <v/>
      </c>
      <c r="AF60" s="271"/>
      <c r="AG60" s="148" t="str">
        <f>IF($AF60="○",VLOOKUP($AY60,参照データ!$D$89:$Q$100,14),"")</f>
        <v/>
      </c>
      <c r="AH60" s="266"/>
      <c r="AI60" s="370" t="str">
        <f t="shared" si="38"/>
        <v/>
      </c>
      <c r="AJ60" s="498"/>
      <c r="AK60" s="497" t="str">
        <f>IF($AJ60="○",VLOOKUP($AY60,参照データ!$D$89:$U$100,18),"")</f>
        <v/>
      </c>
      <c r="AL60" s="170" t="str">
        <f t="shared" si="13"/>
        <v/>
      </c>
      <c r="AM60" s="269"/>
      <c r="AN60" s="413" t="str">
        <f>IF($AM60="○",VLOOKUP($CR60,参照データ!$D$143:$E$150,2),"")</f>
        <v/>
      </c>
      <c r="AO60" s="416"/>
      <c r="AP60" s="366" t="str">
        <f t="shared" si="14"/>
        <v/>
      </c>
      <c r="AQ60" s="465"/>
      <c r="AR60" s="466"/>
      <c r="AU60" s="273" t="str">
        <f t="shared" si="82"/>
        <v/>
      </c>
      <c r="AV60" s="274" t="str">
        <f t="shared" si="83"/>
        <v/>
      </c>
      <c r="AW60" s="226" t="e">
        <f t="shared" si="17"/>
        <v>#VALUE!</v>
      </c>
      <c r="AX60" t="e">
        <f>IF(AND(AW60&gt;=参照データ!$C$71,AW60&lt;=参照データ!$C$69),1,IF(AND(AW60&gt;=参照データ!$C$74,AW60&lt;=参照データ!$C$72),2,IF(AND(AW60&gt;=参照データ!$C$77,AW60&lt;=参照データ!$C$75),3,IF(AND(AW60&gt;=参照データ!$C$80,AW60&lt;=参照データ!$C$78),4,IF(AND(AW60&gt;=参照データ!$C$83,AW60&lt;=参照データ!$C$81),5,IF(AW60&lt;=参照データ!$C$84,6,0))))))</f>
        <v>#VALUE!</v>
      </c>
      <c r="AY60" t="e">
        <f>IF(AV60="男子",VLOOKUP(AX60,参照データ!$C$95:$D$100,2),AX60)</f>
        <v>#VALUE!</v>
      </c>
      <c r="AZ60" s="241" t="str">
        <f t="shared" si="72"/>
        <v/>
      </c>
      <c r="BA60" s="219" t="str">
        <f>IF($J60="○",VLOOKUP($AZ60,参照データ!$B$24:$G$41,3,0),"")</f>
        <v/>
      </c>
      <c r="BB60" s="220" t="str">
        <f>IF($K60="○",VLOOKUP($AZ60,参照データ!$B$24:$G$41,4,0),"")</f>
        <v/>
      </c>
      <c r="BC60" s="220" t="str">
        <f>IF($L60="○",VLOOKUP($AZ60,参照データ!$B$24:$G$41,5,0),"")</f>
        <v/>
      </c>
      <c r="BD60" s="220" t="str">
        <f>IF($M60="○",VLOOKUP($AZ60,参照データ!$B$24:$G$41,6,0),"")</f>
        <v/>
      </c>
      <c r="BE60" s="220" t="str">
        <f>IF($N60="○",VLOOKUP($AZ60,参照データ!$B$24:$H$41,7,0),"")</f>
        <v/>
      </c>
      <c r="BF60" s="221" t="str">
        <f>IF($O60="○",VLOOKUP($AZ60,参照データ!$B$24:$I$41,8,0),"")</f>
        <v/>
      </c>
      <c r="BG60" s="344" t="str">
        <f t="shared" si="18"/>
        <v/>
      </c>
      <c r="BH60" s="242" t="str">
        <f>IF($Q60="入門",VLOOKUP($AZ60,参照データ!$B$46:$U$63,3,0),IF($Q60="初級",VLOOKUP($AZ60,参照データ!$B$46:$U$63,4,0),IF($Q60="中級",VLOOKUP($AZ60,参照データ!$B$46:$U$63,5,0),IF($Q60="上級",VLOOKUP($AZ60,参照データ!$B$46:$U$63,6,0),""))))</f>
        <v/>
      </c>
      <c r="BI60" s="242" t="str">
        <f>IF($R60="初級",VLOOKUP($AZ60,参照データ!$B$46:$U$63,7,0),IF($R60="中級",VLOOKUP($AZ60,参照データ!$B$46:$U$63,8,0),IF($R60="上級",VLOOKUP($AZ60,参照データ!$B$46:$U$63,9,0),"")))</f>
        <v/>
      </c>
      <c r="BJ60" s="242" t="str">
        <f>IF($S60="初級",VLOOKUP($AZ60,参照データ!$B$46:$U$63,10,0),IF($S60="上級",VLOOKUP($AZ60,参照データ!$B$46:$U$63,11,0),""))</f>
        <v/>
      </c>
      <c r="BK60" s="242" t="str">
        <f>IF($T60="初級",VLOOKUP($AZ60,参照データ!$B$46:$U$63,15,0),IF($T60="中級",VLOOKUP($AZ60,参照データ!$B$46:$U$63,16,0),IF($T60="上級",VLOOKUP($AZ60,参照データ!$B$46:$U$63,17,0),"")))</f>
        <v/>
      </c>
      <c r="BL60" s="242" t="str">
        <f>IF($U60="初級",VLOOKUP($AZ60,参照データ!$B$46:$U$63,12,0),IF($U60="中級",VLOOKUP($AZ60,参照データ!$B$46:$U$63,13,0),IF($U60="上級",VLOOKUP($AZ60,参照データ!$B$46:$U$63,14,0),"")))</f>
        <v/>
      </c>
      <c r="BM60" s="21" t="str">
        <f t="shared" si="19"/>
        <v/>
      </c>
      <c r="BN60" s="21" t="str">
        <f>IF($V60="初級",VLOOKUP($AZ60,参照データ!$B$46:$U$63,18,0),IF($V60="中級",VLOOKUP($AZ60,参照データ!$B$46:$U$63,19,0),IF($V60="上級",VLOOKUP($AZ60,参照データ!$B$46:$U$63,20,0),"")))</f>
        <v/>
      </c>
      <c r="BO60" s="587"/>
      <c r="BP60" s="250" t="s">
        <v>287</v>
      </c>
      <c r="BQ60" s="251" t="str">
        <f t="shared" si="73"/>
        <v/>
      </c>
      <c r="BR60" s="595"/>
      <c r="BT60" s="241" t="e">
        <f t="shared" si="86"/>
        <v>#VALUE!</v>
      </c>
      <c r="BU60" s="245" t="str">
        <f>IF($X60="○",VLOOKUP($BT60,参照データ!$D$89:$F$100,3,0),"")</f>
        <v/>
      </c>
      <c r="BV60" s="246" t="str">
        <f t="shared" si="74"/>
        <v/>
      </c>
      <c r="BW60" s="245" t="str">
        <f>IF($Z60="○",VLOOKUP($BT60,参照データ!$D$89:$J$100,7,0),"")</f>
        <v/>
      </c>
      <c r="BX60" s="246" t="str">
        <f t="shared" si="75"/>
        <v/>
      </c>
      <c r="BY60" s="245" t="str">
        <f>IF($AB60="○",VLOOKUP($BT60,参照データ!$D$89:$N$100,11,0),"")</f>
        <v/>
      </c>
      <c r="BZ60" s="246" t="str">
        <f t="shared" si="76"/>
        <v/>
      </c>
      <c r="CA60" s="245" t="str">
        <f>IF($AD60="○",VLOOKUP($BT60,参照データ!$D$89:$T$100,17,0),"")</f>
        <v/>
      </c>
      <c r="CB60" s="246" t="str">
        <f t="shared" si="21"/>
        <v/>
      </c>
      <c r="CC60" s="245" t="str">
        <f>IF($AF60="○",VLOOKUP($BT60,参照データ!$D$89:$T$100,16,0),"")</f>
        <v/>
      </c>
      <c r="CD60" s="246" t="str">
        <f t="shared" si="22"/>
        <v/>
      </c>
      <c r="CE60" s="25">
        <f t="shared" si="23"/>
        <v>0</v>
      </c>
      <c r="CF60" s="312" t="e">
        <f t="shared" si="77"/>
        <v>#N/A</v>
      </c>
      <c r="CG60" s="300" t="str">
        <f t="shared" si="24"/>
        <v/>
      </c>
      <c r="CH60" s="645"/>
      <c r="CI60" s="252" t="s">
        <v>142</v>
      </c>
      <c r="CJ60" s="253" t="e">
        <f t="shared" si="78"/>
        <v>#N/A</v>
      </c>
      <c r="CK60" s="253" t="e">
        <f>VLOOKUP(CJ60,参照データ!$D$89:$R$100,15,0)</f>
        <v>#N/A</v>
      </c>
      <c r="CL60" s="647"/>
      <c r="CM60" s="288" t="e">
        <f>CM59</f>
        <v>#N/A</v>
      </c>
      <c r="CN60" s="290" t="str">
        <f>IF($AJ60="○",VLOOKUP($BT60,参照データ!$D$89:$V$100,19,0),"")</f>
        <v/>
      </c>
      <c r="CO60" s="246" t="str">
        <f t="shared" si="25"/>
        <v/>
      </c>
      <c r="CQ60" t="e">
        <f>IF(AND($AW60&gt;=参照データ!$C$132,$AW60&lt;=参照データ!$C$130),1,IF(AND($AW60&gt;=参照データ!$C$135,$AW60&lt;=参照データ!$C$133),2,IF(AND($AW60&gt;=参照データ!$C$138,$AW60&lt;=参照データ!$C$136),3,IF($AW60&lt;=参照データ!$C$139,4,0))))</f>
        <v>#VALUE!</v>
      </c>
      <c r="CR60" t="e">
        <f>IF($AV60="男子",VLOOKUP(CQ60,参照データ!$C$143:$D$150,2),CQ60)</f>
        <v>#VALUE!</v>
      </c>
      <c r="CS60" s="388" t="e">
        <f t="shared" si="26"/>
        <v>#VALUE!</v>
      </c>
      <c r="CT60" s="389" t="str">
        <f>IF($AM60="○",VLOOKUP($CS60,参照データ!$D$143:$F$150,3,0),"")</f>
        <v/>
      </c>
      <c r="CU60" s="390" t="str">
        <f t="shared" si="52"/>
        <v/>
      </c>
      <c r="CV60">
        <f t="shared" si="39"/>
        <v>0</v>
      </c>
      <c r="CW60" s="312" t="e">
        <f t="shared" si="79"/>
        <v>#N/A</v>
      </c>
      <c r="CX60" s="391" t="str">
        <f t="shared" si="28"/>
        <v/>
      </c>
      <c r="CY60" s="721"/>
      <c r="CZ60" s="395" t="s">
        <v>142</v>
      </c>
      <c r="DA60" s="396" t="e">
        <f t="shared" si="40"/>
        <v>#N/A</v>
      </c>
      <c r="DB60" s="396" t="e">
        <f>VLOOKUP(DA60,参照データ!$D$143:$J$150,7,0)</f>
        <v>#N/A</v>
      </c>
      <c r="DC60" s="723"/>
      <c r="DD60" s="397" t="e">
        <f t="shared" ref="DD60" si="99">DD59</f>
        <v>#N/A</v>
      </c>
      <c r="DF60" s="254">
        <f>(COUNTIF($J60:$O60,"&lt;&gt;"))*参照データ!$D$3</f>
        <v>0</v>
      </c>
      <c r="DG60" s="297">
        <f t="shared" si="29"/>
        <v>0</v>
      </c>
      <c r="DH60" s="157" cm="1">
        <f t="array" ref="DH60">(SUM(COUNTIF($Q60:$U60,{"入門","初級"}))*3000)+(SUM(COUNTIF($Q60:$U60,{"中級","上級"})*3500))</f>
        <v>0</v>
      </c>
      <c r="DI60" s="157">
        <f>IFERROR(VLOOKUP(V60,参照データ!$G$3:$I$6,3,0),0)</f>
        <v>0</v>
      </c>
      <c r="DJ60" s="469">
        <f t="shared" si="30"/>
        <v>0</v>
      </c>
      <c r="DK60" s="157">
        <f t="shared" si="31"/>
        <v>0</v>
      </c>
      <c r="DL60" s="157">
        <f t="shared" si="32"/>
        <v>0</v>
      </c>
      <c r="DM60" s="157">
        <f>(COUNTIF($AM60,"○"))*参照データ!$H$13</f>
        <v>0</v>
      </c>
      <c r="DN60" s="157">
        <f>(IF($AO60&gt;0,参照データ!$I$14,0))</f>
        <v>0</v>
      </c>
      <c r="DO60" s="249">
        <f t="array" ref="DO60">SUM(IF(ISERROR($DF60:$DN60),0,($DF60:$DN60)))</f>
        <v>0</v>
      </c>
      <c r="DP60" s="157"/>
      <c r="DQ60" s="157">
        <f t="shared" si="33"/>
        <v>0</v>
      </c>
      <c r="DR60" s="157">
        <f t="shared" si="34"/>
        <v>0</v>
      </c>
      <c r="DS60" s="157">
        <f t="shared" si="35"/>
        <v>0</v>
      </c>
      <c r="DT60" s="157">
        <f t="shared" si="36"/>
        <v>0</v>
      </c>
      <c r="DU60" s="157">
        <f t="shared" si="37"/>
        <v>0</v>
      </c>
      <c r="DV60" t="str">
        <f t="shared" si="81"/>
        <v/>
      </c>
    </row>
    <row r="61" spans="1:126" ht="18.75" customHeight="1" x14ac:dyDescent="0.2">
      <c r="A61">
        <v>49</v>
      </c>
      <c r="B61" s="183" t="str">
        <f>IF(D61="","",IF(D61="重複","",COUNTIF(B$13:$B60,"&gt;0")+1))</f>
        <v/>
      </c>
      <c r="C61" s="264"/>
      <c r="D61" s="134"/>
      <c r="E61" s="134"/>
      <c r="F61" s="135"/>
      <c r="G61" s="136"/>
      <c r="H61" s="169">
        <f t="shared" si="11"/>
        <v>0</v>
      </c>
      <c r="I61" s="170" t="str">
        <f t="shared" si="12"/>
        <v/>
      </c>
      <c r="J61" s="138"/>
      <c r="K61" s="138"/>
      <c r="L61" s="138"/>
      <c r="M61" s="139"/>
      <c r="N61" s="146"/>
      <c r="O61" s="141"/>
      <c r="P61" s="336"/>
      <c r="Q61" s="142"/>
      <c r="R61" s="143"/>
      <c r="S61" s="143"/>
      <c r="T61" s="144"/>
      <c r="U61" s="143"/>
      <c r="V61" s="267"/>
      <c r="W61" s="145"/>
      <c r="X61" s="269"/>
      <c r="Y61" s="148" t="str">
        <f>IF($X61="○",VLOOKUP($AY61,参照データ!$D$89:$E$100,2),"")</f>
        <v/>
      </c>
      <c r="Z61" s="271"/>
      <c r="AA61" s="148" t="str">
        <f>IF($Z61="○",VLOOKUP($AY61,参照データ!$D$89:$J$100,6),"")</f>
        <v/>
      </c>
      <c r="AB61" s="271"/>
      <c r="AC61" s="148" t="str">
        <f>IF($AB61="○",VLOOKUP($AY61,参照データ!$D$89:$N$100,10),"")</f>
        <v/>
      </c>
      <c r="AD61" s="271"/>
      <c r="AE61" s="148" t="str">
        <f>IF($AD61="○",VLOOKUP($AY61,参照データ!$D$89:$Q$100,14),"")</f>
        <v/>
      </c>
      <c r="AF61" s="271"/>
      <c r="AG61" s="148" t="str">
        <f>IF($AF61="○",VLOOKUP($AY61,参照データ!$D$89:$Q$100,14),"")</f>
        <v/>
      </c>
      <c r="AH61" s="266"/>
      <c r="AI61" s="370" t="str">
        <f t="shared" si="38"/>
        <v/>
      </c>
      <c r="AJ61" s="498"/>
      <c r="AK61" s="497" t="str">
        <f>IF($AJ61="○",VLOOKUP($AY61,参照データ!$D$89:$U$100,18),"")</f>
        <v/>
      </c>
      <c r="AL61" s="170" t="str">
        <f t="shared" si="13"/>
        <v/>
      </c>
      <c r="AM61" s="269"/>
      <c r="AN61" s="413" t="str">
        <f>IF($AM61="○",VLOOKUP($CR61,参照データ!$D$143:$E$150,2),"")</f>
        <v/>
      </c>
      <c r="AO61" s="416"/>
      <c r="AP61" s="366" t="str">
        <f t="shared" si="14"/>
        <v/>
      </c>
      <c r="AQ61" s="465"/>
      <c r="AR61" s="466"/>
      <c r="AU61" s="273" t="str">
        <f t="shared" si="82"/>
        <v/>
      </c>
      <c r="AV61" s="274" t="str">
        <f t="shared" si="83"/>
        <v/>
      </c>
      <c r="AW61" s="226" t="e">
        <f t="shared" si="17"/>
        <v>#VALUE!</v>
      </c>
      <c r="AX61" t="e">
        <f>IF(AND(AW61&gt;=参照データ!$C$71,AW61&lt;=参照データ!$C$69),1,IF(AND(AW61&gt;=参照データ!$C$74,AW61&lt;=参照データ!$C$72),2,IF(AND(AW61&gt;=参照データ!$C$77,AW61&lt;=参照データ!$C$75),3,IF(AND(AW61&gt;=参照データ!$C$80,AW61&lt;=参照データ!$C$78),4,IF(AND(AW61&gt;=参照データ!$C$83,AW61&lt;=参照データ!$C$81),5,IF(AW61&lt;=参照データ!$C$84,6,0))))))</f>
        <v>#VALUE!</v>
      </c>
      <c r="AY61" t="e">
        <f>IF(AV61="男子",VLOOKUP(AX61,参照データ!$C$95:$D$100,2),AX61)</f>
        <v>#VALUE!</v>
      </c>
      <c r="AZ61" s="241" t="str">
        <f t="shared" si="72"/>
        <v/>
      </c>
      <c r="BA61" s="219" t="str">
        <f>IF($J61="○",VLOOKUP($AZ61,参照データ!$B$24:$G$41,3,0),"")</f>
        <v/>
      </c>
      <c r="BB61" s="220" t="str">
        <f>IF($K61="○",VLOOKUP($AZ61,参照データ!$B$24:$G$41,4,0),"")</f>
        <v/>
      </c>
      <c r="BC61" s="220" t="str">
        <f>IF($L61="○",VLOOKUP($AZ61,参照データ!$B$24:$G$41,5,0),"")</f>
        <v/>
      </c>
      <c r="BD61" s="220" t="str">
        <f>IF($M61="○",VLOOKUP($AZ61,参照データ!$B$24:$G$41,6,0),"")</f>
        <v/>
      </c>
      <c r="BE61" s="220" t="str">
        <f>IF($N61="○",VLOOKUP($AZ61,参照データ!$B$24:$H$41,7,0),"")</f>
        <v/>
      </c>
      <c r="BF61" s="221" t="str">
        <f>IF($O61="○",VLOOKUP($AZ61,参照データ!$B$24:$I$41,8,0),"")</f>
        <v/>
      </c>
      <c r="BG61" s="344" t="str">
        <f t="shared" si="18"/>
        <v/>
      </c>
      <c r="BH61" s="242" t="str">
        <f>IF($Q61="入門",VLOOKUP($AZ61,参照データ!$B$46:$U$63,3,0),IF($Q61="初級",VLOOKUP($AZ61,参照データ!$B$46:$U$63,4,0),IF($Q61="中級",VLOOKUP($AZ61,参照データ!$B$46:$U$63,5,0),IF($Q61="上級",VLOOKUP($AZ61,参照データ!$B$46:$U$63,6,0),""))))</f>
        <v/>
      </c>
      <c r="BI61" s="242" t="str">
        <f>IF($R61="初級",VLOOKUP($AZ61,参照データ!$B$46:$U$63,7,0),IF($R61="中級",VLOOKUP($AZ61,参照データ!$B$46:$U$63,8,0),IF($R61="上級",VLOOKUP($AZ61,参照データ!$B$46:$U$63,9,0),"")))</f>
        <v/>
      </c>
      <c r="BJ61" s="242" t="str">
        <f>IF($S61="初級",VLOOKUP($AZ61,参照データ!$B$46:$U$63,10,0),IF($S61="上級",VLOOKUP($AZ61,参照データ!$B$46:$U$63,11,0),""))</f>
        <v/>
      </c>
      <c r="BK61" s="242" t="str">
        <f>IF($T61="初級",VLOOKUP($AZ61,参照データ!$B$46:$U$63,15,0),IF($T61="中級",VLOOKUP($AZ61,参照データ!$B$46:$U$63,16,0),IF($T61="上級",VLOOKUP($AZ61,参照データ!$B$46:$U$63,17,0),"")))</f>
        <v/>
      </c>
      <c r="BL61" s="242" t="str">
        <f>IF($U61="初級",VLOOKUP($AZ61,参照データ!$B$46:$U$63,12,0),IF($U61="中級",VLOOKUP($AZ61,参照データ!$B$46:$U$63,13,0),IF($U61="上級",VLOOKUP($AZ61,参照データ!$B$46:$U$63,14,0),"")))</f>
        <v/>
      </c>
      <c r="BM61" s="21" t="str">
        <f t="shared" si="19"/>
        <v/>
      </c>
      <c r="BN61" s="21" t="str">
        <f>IF($V61="初級",VLOOKUP($AZ61,参照データ!$B$46:$U$63,18,0),IF($V61="中級",VLOOKUP($AZ61,参照データ!$B$46:$U$63,19,0),IF($V61="上級",VLOOKUP($AZ61,参照データ!$B$46:$U$63,20,0),"")))</f>
        <v/>
      </c>
      <c r="BO61" s="604">
        <v>25</v>
      </c>
      <c r="BP61" s="255" t="s">
        <v>288</v>
      </c>
      <c r="BQ61" s="251" t="str">
        <f t="shared" si="73"/>
        <v/>
      </c>
      <c r="BR61" s="594" t="str">
        <f>IF(OR($BQ61="",$BQ62=""),"",IF($BQ61&gt;$BQ62,$BQ61,$BQ62))</f>
        <v/>
      </c>
      <c r="BT61" s="241" t="e">
        <f t="shared" si="86"/>
        <v>#VALUE!</v>
      </c>
      <c r="BU61" s="245" t="str">
        <f>IF($X61="○",VLOOKUP($BT61,参照データ!$D$89:$F$100,3,0),"")</f>
        <v/>
      </c>
      <c r="BV61" s="246" t="str">
        <f t="shared" si="74"/>
        <v/>
      </c>
      <c r="BW61" s="245" t="str">
        <f>IF($Z61="○",VLOOKUP($BT61,参照データ!$D$89:$J$100,7,0),"")</f>
        <v/>
      </c>
      <c r="BX61" s="246" t="str">
        <f t="shared" si="75"/>
        <v/>
      </c>
      <c r="BY61" s="245" t="str">
        <f>IF($AB61="○",VLOOKUP($BT61,参照データ!$D$89:$N$100,11,0),"")</f>
        <v/>
      </c>
      <c r="BZ61" s="246" t="str">
        <f t="shared" si="76"/>
        <v/>
      </c>
      <c r="CA61" s="245" t="str">
        <f>IF($AD61="○",VLOOKUP($BT61,参照データ!$D$89:$T$100,17,0),"")</f>
        <v/>
      </c>
      <c r="CB61" s="246" t="str">
        <f t="shared" si="21"/>
        <v/>
      </c>
      <c r="CC61" s="245" t="str">
        <f>IF($AF61="○",VLOOKUP($BT61,参照データ!$D$89:$T$100,16,0),"")</f>
        <v/>
      </c>
      <c r="CD61" s="246" t="str">
        <f t="shared" si="22"/>
        <v/>
      </c>
      <c r="CE61" s="25">
        <f t="shared" si="23"/>
        <v>0</v>
      </c>
      <c r="CF61" s="312" t="e">
        <f t="shared" si="77"/>
        <v>#N/A</v>
      </c>
      <c r="CG61" s="300" t="str">
        <f t="shared" si="24"/>
        <v/>
      </c>
      <c r="CH61" s="648">
        <v>25</v>
      </c>
      <c r="CI61" s="256" t="s">
        <v>143</v>
      </c>
      <c r="CJ61" s="257" t="e">
        <f t="shared" si="78"/>
        <v>#N/A</v>
      </c>
      <c r="CK61" s="257" t="e">
        <f>VLOOKUP(CJ61,参照データ!$D$89:$R$100,15,0)</f>
        <v>#N/A</v>
      </c>
      <c r="CL61" s="649" t="e">
        <f>IF(OR($CJ61="",$CJ62=""),"",IF($CJ61&gt;$CJ62,$CK61,$CK62))</f>
        <v>#N/A</v>
      </c>
      <c r="CM61" s="289" t="e">
        <f>INDEX(参照データ!$Q$89:$Q$100,MATCH($CL61,参照データ!$R$89:$R$100,0))</f>
        <v>#N/A</v>
      </c>
      <c r="CN61" s="290" t="str">
        <f>IF($AJ61="○",VLOOKUP($BT61,参照データ!$D$89:$V$100,19,0),"")</f>
        <v/>
      </c>
      <c r="CO61" s="246" t="str">
        <f t="shared" si="25"/>
        <v/>
      </c>
      <c r="CQ61" t="e">
        <f>IF(AND($AW61&gt;=参照データ!$C$132,$AW61&lt;=参照データ!$C$130),1,IF(AND($AW61&gt;=参照データ!$C$135,$AW61&lt;=参照データ!$C$133),2,IF(AND($AW61&gt;=参照データ!$C$138,$AW61&lt;=参照データ!$C$136),3,IF($AW61&lt;=参照データ!$C$139,4,0))))</f>
        <v>#VALUE!</v>
      </c>
      <c r="CR61" t="e">
        <f>IF($AV61="男子",VLOOKUP(CQ61,参照データ!$C$143:$D$150,2),CQ61)</f>
        <v>#VALUE!</v>
      </c>
      <c r="CS61" s="388" t="e">
        <f t="shared" si="26"/>
        <v>#VALUE!</v>
      </c>
      <c r="CT61" s="389" t="str">
        <f>IF($AM61="○",VLOOKUP($CS61,参照データ!$D$143:$F$150,3,0),"")</f>
        <v/>
      </c>
      <c r="CU61" s="390" t="str">
        <f t="shared" si="52"/>
        <v/>
      </c>
      <c r="CV61">
        <f t="shared" si="39"/>
        <v>0</v>
      </c>
      <c r="CW61" s="312" t="e">
        <f t="shared" si="79"/>
        <v>#N/A</v>
      </c>
      <c r="CX61" s="391" t="str">
        <f t="shared" si="28"/>
        <v/>
      </c>
      <c r="CY61" s="724">
        <v>25</v>
      </c>
      <c r="CZ61" s="398" t="s">
        <v>143</v>
      </c>
      <c r="DA61" s="399" t="e">
        <f t="shared" si="40"/>
        <v>#N/A</v>
      </c>
      <c r="DB61" s="399" t="e">
        <f>VLOOKUP(DA61,参照データ!$D$143:$J$150,7,0)</f>
        <v>#N/A</v>
      </c>
      <c r="DC61" s="725" t="e">
        <f t="shared" ref="DC61" si="100">IF(OR($DA61="",$DA62=""),"",IF($DA61&gt;$DA62,$DB61,$DB62))</f>
        <v>#N/A</v>
      </c>
      <c r="DD61" s="400" t="e">
        <f>INDEX(参照データ!$I$143:$I$150,MATCH($DC61,参照データ!$J$143:$J$150,0))</f>
        <v>#N/A</v>
      </c>
      <c r="DF61" s="254">
        <f>(COUNTIF($J61:$O61,"&lt;&gt;"))*参照データ!$D$3</f>
        <v>0</v>
      </c>
      <c r="DG61" s="297">
        <f t="shared" si="29"/>
        <v>0</v>
      </c>
      <c r="DH61" s="157" cm="1">
        <f t="array" ref="DH61">(SUM(COUNTIF($Q61:$U61,{"入門","初級"}))*3000)+(SUM(COUNTIF($Q61:$U61,{"中級","上級"})*3500))</f>
        <v>0</v>
      </c>
      <c r="DI61" s="157">
        <f>IFERROR(VLOOKUP(V61,参照データ!$G$3:$I$6,3,0),0)</f>
        <v>0</v>
      </c>
      <c r="DJ61" s="469">
        <f t="shared" si="30"/>
        <v>0</v>
      </c>
      <c r="DK61" s="157">
        <f t="shared" si="31"/>
        <v>0</v>
      </c>
      <c r="DL61" s="157">
        <f t="shared" si="32"/>
        <v>0</v>
      </c>
      <c r="DM61" s="157">
        <f>(COUNTIF($AM61,"○"))*参照データ!$H$13</f>
        <v>0</v>
      </c>
      <c r="DN61" s="157">
        <f>(IF($AO61&gt;0,参照データ!$I$14,0))</f>
        <v>0</v>
      </c>
      <c r="DO61" s="249">
        <f t="array" ref="DO61">SUM(IF(ISERROR($DF61:$DN61),0,($DF61:$DN61)))</f>
        <v>0</v>
      </c>
      <c r="DP61" s="157"/>
      <c r="DQ61" s="157">
        <f t="shared" si="33"/>
        <v>0</v>
      </c>
      <c r="DR61" s="157">
        <f t="shared" si="34"/>
        <v>0</v>
      </c>
      <c r="DS61" s="157">
        <f t="shared" si="35"/>
        <v>0</v>
      </c>
      <c r="DT61" s="157">
        <f t="shared" si="36"/>
        <v>0</v>
      </c>
      <c r="DU61" s="157">
        <f t="shared" si="37"/>
        <v>0</v>
      </c>
      <c r="DV61" t="str">
        <f t="shared" si="81"/>
        <v/>
      </c>
    </row>
    <row r="62" spans="1:126" ht="18.75" customHeight="1" x14ac:dyDescent="0.2">
      <c r="A62">
        <v>50</v>
      </c>
      <c r="B62" s="183" t="str">
        <f>IF(D62="","",IF(D62="重複","",COUNTIF(B$13:$B61,"&gt;0")+1))</f>
        <v/>
      </c>
      <c r="C62" s="264"/>
      <c r="D62" s="134"/>
      <c r="E62" s="134"/>
      <c r="F62" s="135"/>
      <c r="G62" s="136"/>
      <c r="H62" s="169">
        <f t="shared" si="11"/>
        <v>0</v>
      </c>
      <c r="I62" s="170" t="str">
        <f t="shared" si="12"/>
        <v/>
      </c>
      <c r="J62" s="138"/>
      <c r="K62" s="138"/>
      <c r="L62" s="138"/>
      <c r="M62" s="139"/>
      <c r="N62" s="146"/>
      <c r="O62" s="141"/>
      <c r="P62" s="336"/>
      <c r="Q62" s="142"/>
      <c r="R62" s="143"/>
      <c r="S62" s="143"/>
      <c r="T62" s="144"/>
      <c r="U62" s="143"/>
      <c r="V62" s="267"/>
      <c r="W62" s="145"/>
      <c r="X62" s="269"/>
      <c r="Y62" s="148" t="str">
        <f>IF($X62="○",VLOOKUP($AY62,参照データ!$D$89:$E$100,2),"")</f>
        <v/>
      </c>
      <c r="Z62" s="271"/>
      <c r="AA62" s="148" t="str">
        <f>IF($Z62="○",VLOOKUP($AY62,参照データ!$D$89:$J$100,6),"")</f>
        <v/>
      </c>
      <c r="AB62" s="271"/>
      <c r="AC62" s="148" t="str">
        <f>IF($AB62="○",VLOOKUP($AY62,参照データ!$D$89:$N$100,10),"")</f>
        <v/>
      </c>
      <c r="AD62" s="271"/>
      <c r="AE62" s="148" t="str">
        <f>IF($AD62="○",VLOOKUP($AY62,参照データ!$D$89:$Q$100,14),"")</f>
        <v/>
      </c>
      <c r="AF62" s="271"/>
      <c r="AG62" s="148" t="str">
        <f>IF($AF62="○",VLOOKUP($AY62,参照データ!$D$89:$Q$100,14),"")</f>
        <v/>
      </c>
      <c r="AH62" s="266"/>
      <c r="AI62" s="370" t="str">
        <f t="shared" si="38"/>
        <v/>
      </c>
      <c r="AJ62" s="498"/>
      <c r="AK62" s="497" t="str">
        <f>IF($AJ62="○",VLOOKUP($AY62,参照データ!$D$89:$U$100,18),"")</f>
        <v/>
      </c>
      <c r="AL62" s="170" t="str">
        <f t="shared" si="13"/>
        <v/>
      </c>
      <c r="AM62" s="269"/>
      <c r="AN62" s="413" t="str">
        <f>IF($AM62="○",VLOOKUP($CR62,参照データ!$D$143:$E$150,2),"")</f>
        <v/>
      </c>
      <c r="AO62" s="416"/>
      <c r="AP62" s="366" t="str">
        <f t="shared" si="14"/>
        <v/>
      </c>
      <c r="AQ62" s="465"/>
      <c r="AR62" s="466"/>
      <c r="AU62" s="273" t="str">
        <f t="shared" si="82"/>
        <v/>
      </c>
      <c r="AV62" s="274" t="str">
        <f t="shared" si="83"/>
        <v/>
      </c>
      <c r="AW62" s="226" t="e">
        <f t="shared" si="17"/>
        <v>#VALUE!</v>
      </c>
      <c r="AX62" t="e">
        <f>IF(AND(AW62&gt;=参照データ!$C$71,AW62&lt;=参照データ!$C$69),1,IF(AND(AW62&gt;=参照データ!$C$74,AW62&lt;=参照データ!$C$72),2,IF(AND(AW62&gt;=参照データ!$C$77,AW62&lt;=参照データ!$C$75),3,IF(AND(AW62&gt;=参照データ!$C$80,AW62&lt;=参照データ!$C$78),4,IF(AND(AW62&gt;=参照データ!$C$83,AW62&lt;=参照データ!$C$81),5,IF(AW62&lt;=参照データ!$C$84,6,0))))))</f>
        <v>#VALUE!</v>
      </c>
      <c r="AY62" t="e">
        <f>IF(AV62="男子",VLOOKUP(AX62,参照データ!$C$95:$D$100,2),AX62)</f>
        <v>#VALUE!</v>
      </c>
      <c r="AZ62" s="241" t="str">
        <f t="shared" si="72"/>
        <v/>
      </c>
      <c r="BA62" s="219" t="str">
        <f>IF($J62="○",VLOOKUP($AZ62,参照データ!$B$24:$G$41,3,0),"")</f>
        <v/>
      </c>
      <c r="BB62" s="220" t="str">
        <f>IF($K62="○",VLOOKUP($AZ62,参照データ!$B$24:$G$41,4,0),"")</f>
        <v/>
      </c>
      <c r="BC62" s="220" t="str">
        <f>IF($L62="○",VLOOKUP($AZ62,参照データ!$B$24:$G$41,5,0),"")</f>
        <v/>
      </c>
      <c r="BD62" s="220" t="str">
        <f>IF($M62="○",VLOOKUP($AZ62,参照データ!$B$24:$G$41,6,0),"")</f>
        <v/>
      </c>
      <c r="BE62" s="220" t="str">
        <f>IF($N62="○",VLOOKUP($AZ62,参照データ!$B$24:$H$41,7,0),"")</f>
        <v/>
      </c>
      <c r="BF62" s="221" t="str">
        <f>IF($O62="○",VLOOKUP($AZ62,参照データ!$B$24:$I$41,8,0),"")</f>
        <v/>
      </c>
      <c r="BG62" s="344" t="str">
        <f t="shared" si="18"/>
        <v/>
      </c>
      <c r="BH62" s="242" t="str">
        <f>IF($Q62="入門",VLOOKUP($AZ62,参照データ!$B$46:$U$63,3,0),IF($Q62="初級",VLOOKUP($AZ62,参照データ!$B$46:$U$63,4,0),IF($Q62="中級",VLOOKUP($AZ62,参照データ!$B$46:$U$63,5,0),IF($Q62="上級",VLOOKUP($AZ62,参照データ!$B$46:$U$63,6,0),""))))</f>
        <v/>
      </c>
      <c r="BI62" s="242" t="str">
        <f>IF($R62="初級",VLOOKUP($AZ62,参照データ!$B$46:$U$63,7,0),IF($R62="中級",VLOOKUP($AZ62,参照データ!$B$46:$U$63,8,0),IF($R62="上級",VLOOKUP($AZ62,参照データ!$B$46:$U$63,9,0),"")))</f>
        <v/>
      </c>
      <c r="BJ62" s="242" t="str">
        <f>IF($S62="初級",VLOOKUP($AZ62,参照データ!$B$46:$U$63,10,0),IF($S62="上級",VLOOKUP($AZ62,参照データ!$B$46:$U$63,11,0),""))</f>
        <v/>
      </c>
      <c r="BK62" s="242" t="str">
        <f>IF($T62="初級",VLOOKUP($AZ62,参照データ!$B$46:$U$63,15,0),IF($T62="中級",VLOOKUP($AZ62,参照データ!$B$46:$U$63,16,0),IF($T62="上級",VLOOKUP($AZ62,参照データ!$B$46:$U$63,17,0),"")))</f>
        <v/>
      </c>
      <c r="BL62" s="242" t="str">
        <f>IF($U62="初級",VLOOKUP($AZ62,参照データ!$B$46:$U$63,12,0),IF($U62="中級",VLOOKUP($AZ62,参照データ!$B$46:$U$63,13,0),IF($U62="上級",VLOOKUP($AZ62,参照データ!$B$46:$U$63,14,0),"")))</f>
        <v/>
      </c>
      <c r="BM62" s="21" t="str">
        <f t="shared" si="19"/>
        <v/>
      </c>
      <c r="BN62" s="21" t="str">
        <f>IF($V62="初級",VLOOKUP($AZ62,参照データ!$B$46:$U$63,18,0),IF($V62="中級",VLOOKUP($AZ62,参照データ!$B$46:$U$63,19,0),IF($V62="上級",VLOOKUP($AZ62,参照データ!$B$46:$U$63,20,0),"")))</f>
        <v/>
      </c>
      <c r="BO62" s="587"/>
      <c r="BP62" s="250" t="s">
        <v>289</v>
      </c>
      <c r="BQ62" s="251" t="str">
        <f t="shared" si="73"/>
        <v/>
      </c>
      <c r="BR62" s="595"/>
      <c r="BT62" s="241" t="e">
        <f t="shared" si="86"/>
        <v>#VALUE!</v>
      </c>
      <c r="BU62" s="245" t="str">
        <f>IF($X62="○",VLOOKUP($BT62,参照データ!$D$89:$F$100,3,0),"")</f>
        <v/>
      </c>
      <c r="BV62" s="246" t="str">
        <f t="shared" si="74"/>
        <v/>
      </c>
      <c r="BW62" s="245" t="str">
        <f>IF($Z62="○",VLOOKUP($BT62,参照データ!$D$89:$J$100,7,0),"")</f>
        <v/>
      </c>
      <c r="BX62" s="246" t="str">
        <f t="shared" si="75"/>
        <v/>
      </c>
      <c r="BY62" s="245" t="str">
        <f>IF($AB62="○",VLOOKUP($BT62,参照データ!$D$89:$N$100,11,0),"")</f>
        <v/>
      </c>
      <c r="BZ62" s="246" t="str">
        <f t="shared" si="76"/>
        <v/>
      </c>
      <c r="CA62" s="245" t="str">
        <f>IF($AD62="○",VLOOKUP($BT62,参照データ!$D$89:$T$100,17,0),"")</f>
        <v/>
      </c>
      <c r="CB62" s="246" t="str">
        <f t="shared" si="21"/>
        <v/>
      </c>
      <c r="CC62" s="245" t="str">
        <f>IF($AF62="○",VLOOKUP($BT62,参照データ!$D$89:$T$100,16,0),"")</f>
        <v/>
      </c>
      <c r="CD62" s="246" t="str">
        <f t="shared" si="22"/>
        <v/>
      </c>
      <c r="CE62" s="25">
        <f t="shared" si="23"/>
        <v>0</v>
      </c>
      <c r="CF62" s="312" t="e">
        <f t="shared" si="77"/>
        <v>#N/A</v>
      </c>
      <c r="CG62" s="300" t="str">
        <f t="shared" si="24"/>
        <v/>
      </c>
      <c r="CH62" s="645"/>
      <c r="CI62" s="252" t="s">
        <v>144</v>
      </c>
      <c r="CJ62" s="253" t="e">
        <f t="shared" si="78"/>
        <v>#N/A</v>
      </c>
      <c r="CK62" s="253" t="e">
        <f>VLOOKUP(CJ62,参照データ!$D$89:$R$100,15,0)</f>
        <v>#N/A</v>
      </c>
      <c r="CL62" s="647"/>
      <c r="CM62" s="288" t="e">
        <f>CM61</f>
        <v>#N/A</v>
      </c>
      <c r="CN62" s="290" t="str">
        <f>IF($AJ62="○",VLOOKUP($BT62,参照データ!$D$89:$V$100,19,0),"")</f>
        <v/>
      </c>
      <c r="CO62" s="246" t="str">
        <f t="shared" si="25"/>
        <v/>
      </c>
      <c r="CQ62" t="e">
        <f>IF(AND($AW62&gt;=参照データ!$C$132,$AW62&lt;=参照データ!$C$130),1,IF(AND($AW62&gt;=参照データ!$C$135,$AW62&lt;=参照データ!$C$133),2,IF(AND($AW62&gt;=参照データ!$C$138,$AW62&lt;=参照データ!$C$136),3,IF($AW62&lt;=参照データ!$C$139,4,0))))</f>
        <v>#VALUE!</v>
      </c>
      <c r="CR62" t="e">
        <f>IF($AV62="男子",VLOOKUP(CQ62,参照データ!$C$143:$D$150,2),CQ62)</f>
        <v>#VALUE!</v>
      </c>
      <c r="CS62" s="388" t="e">
        <f t="shared" si="26"/>
        <v>#VALUE!</v>
      </c>
      <c r="CT62" s="389" t="str">
        <f>IF($AM62="○",VLOOKUP($CS62,参照データ!$D$143:$F$150,3,0),"")</f>
        <v/>
      </c>
      <c r="CU62" s="390" t="str">
        <f t="shared" si="52"/>
        <v/>
      </c>
      <c r="CV62">
        <f t="shared" si="39"/>
        <v>0</v>
      </c>
      <c r="CW62" s="312" t="e">
        <f t="shared" si="79"/>
        <v>#N/A</v>
      </c>
      <c r="CX62" s="391" t="str">
        <f t="shared" si="28"/>
        <v/>
      </c>
      <c r="CY62" s="721"/>
      <c r="CZ62" s="395" t="s">
        <v>144</v>
      </c>
      <c r="DA62" s="396" t="e">
        <f t="shared" si="40"/>
        <v>#N/A</v>
      </c>
      <c r="DB62" s="396" t="e">
        <f>VLOOKUP(DA62,参照データ!$D$143:$J$150,7,0)</f>
        <v>#N/A</v>
      </c>
      <c r="DC62" s="723"/>
      <c r="DD62" s="397" t="e">
        <f t="shared" ref="DD62" si="101">DD61</f>
        <v>#N/A</v>
      </c>
      <c r="DF62" s="254">
        <f>(COUNTIF($J62:$O62,"&lt;&gt;"))*参照データ!$D$3</f>
        <v>0</v>
      </c>
      <c r="DG62" s="297">
        <f t="shared" si="29"/>
        <v>0</v>
      </c>
      <c r="DH62" s="157" cm="1">
        <f t="array" ref="DH62">(SUM(COUNTIF($Q62:$U62,{"入門","初級"}))*3000)+(SUM(COUNTIF($Q62:$U62,{"中級","上級"})*3500))</f>
        <v>0</v>
      </c>
      <c r="DI62" s="157">
        <f>IFERROR(VLOOKUP(V62,参照データ!$G$3:$I$6,3,0),0)</f>
        <v>0</v>
      </c>
      <c r="DJ62" s="469">
        <f t="shared" si="30"/>
        <v>0</v>
      </c>
      <c r="DK62" s="157">
        <f t="shared" si="31"/>
        <v>0</v>
      </c>
      <c r="DL62" s="157">
        <f t="shared" si="32"/>
        <v>0</v>
      </c>
      <c r="DM62" s="157">
        <f>(COUNTIF($AM62,"○"))*参照データ!$H$13</f>
        <v>0</v>
      </c>
      <c r="DN62" s="157">
        <f>(IF($AO62&gt;0,参照データ!$I$14,0))</f>
        <v>0</v>
      </c>
      <c r="DO62" s="249">
        <f t="array" ref="DO62">SUM(IF(ISERROR($DF62:$DN62),0,($DF62:$DN62)))</f>
        <v>0</v>
      </c>
      <c r="DP62" s="157"/>
      <c r="DQ62" s="157">
        <f t="shared" si="33"/>
        <v>0</v>
      </c>
      <c r="DR62" s="157">
        <f t="shared" si="34"/>
        <v>0</v>
      </c>
      <c r="DS62" s="157">
        <f t="shared" si="35"/>
        <v>0</v>
      </c>
      <c r="DT62" s="157">
        <f t="shared" si="36"/>
        <v>0</v>
      </c>
      <c r="DU62" s="157">
        <f t="shared" si="37"/>
        <v>0</v>
      </c>
      <c r="DV62" t="str">
        <f t="shared" si="81"/>
        <v/>
      </c>
    </row>
    <row r="63" spans="1:126" ht="18.75" customHeight="1" x14ac:dyDescent="0.2">
      <c r="A63">
        <v>51</v>
      </c>
      <c r="B63" s="183" t="str">
        <f>IF(D63="","",IF(D63="重複","",COUNTIF(B$13:$B62,"&gt;0")+1))</f>
        <v/>
      </c>
      <c r="C63" s="264"/>
      <c r="D63" s="134"/>
      <c r="E63" s="134"/>
      <c r="F63" s="135"/>
      <c r="G63" s="136"/>
      <c r="H63" s="169">
        <f t="shared" si="11"/>
        <v>0</v>
      </c>
      <c r="I63" s="170" t="str">
        <f t="shared" si="12"/>
        <v/>
      </c>
      <c r="J63" s="138"/>
      <c r="K63" s="138"/>
      <c r="L63" s="138"/>
      <c r="M63" s="139"/>
      <c r="N63" s="146"/>
      <c r="O63" s="141"/>
      <c r="P63" s="336"/>
      <c r="Q63" s="142"/>
      <c r="R63" s="143"/>
      <c r="S63" s="143"/>
      <c r="T63" s="144"/>
      <c r="U63" s="143"/>
      <c r="V63" s="267"/>
      <c r="W63" s="145"/>
      <c r="X63" s="269"/>
      <c r="Y63" s="148" t="str">
        <f>IF($X63="○",VLOOKUP($AY63,参照データ!$D$89:$E$100,2),"")</f>
        <v/>
      </c>
      <c r="Z63" s="271"/>
      <c r="AA63" s="148" t="str">
        <f>IF($Z63="○",VLOOKUP($AY63,参照データ!$D$89:$J$100,6),"")</f>
        <v/>
      </c>
      <c r="AB63" s="271"/>
      <c r="AC63" s="148" t="str">
        <f>IF($AB63="○",VLOOKUP($AY63,参照データ!$D$89:$N$100,10),"")</f>
        <v/>
      </c>
      <c r="AD63" s="271"/>
      <c r="AE63" s="148" t="str">
        <f>IF($AD63="○",VLOOKUP($AY63,参照データ!$D$89:$Q$100,14),"")</f>
        <v/>
      </c>
      <c r="AF63" s="271"/>
      <c r="AG63" s="148" t="str">
        <f>IF($AF63="○",VLOOKUP($AY63,参照データ!$D$89:$Q$100,14),"")</f>
        <v/>
      </c>
      <c r="AH63" s="266"/>
      <c r="AI63" s="370" t="str">
        <f t="shared" si="38"/>
        <v/>
      </c>
      <c r="AJ63" s="498"/>
      <c r="AK63" s="497" t="str">
        <f>IF($AJ63="○",VLOOKUP($AY63,参照データ!$D$89:$U$100,18),"")</f>
        <v/>
      </c>
      <c r="AL63" s="170" t="str">
        <f t="shared" si="13"/>
        <v/>
      </c>
      <c r="AM63" s="269"/>
      <c r="AN63" s="413" t="str">
        <f>IF($AM63="○",VLOOKUP($CR63,参照データ!$D$143:$E$150,2),"")</f>
        <v/>
      </c>
      <c r="AO63" s="416"/>
      <c r="AP63" s="366" t="str">
        <f t="shared" si="14"/>
        <v/>
      </c>
      <c r="AQ63" s="465"/>
      <c r="AR63" s="466"/>
      <c r="AU63" s="273" t="str">
        <f t="shared" si="82"/>
        <v/>
      </c>
      <c r="AV63" s="274" t="str">
        <f t="shared" si="83"/>
        <v/>
      </c>
      <c r="AW63" s="226" t="e">
        <f t="shared" si="17"/>
        <v>#VALUE!</v>
      </c>
      <c r="AX63" t="e">
        <f>IF(AND(AW63&gt;=参照データ!$C$71,AW63&lt;=参照データ!$C$69),1,IF(AND(AW63&gt;=参照データ!$C$74,AW63&lt;=参照データ!$C$72),2,IF(AND(AW63&gt;=参照データ!$C$77,AW63&lt;=参照データ!$C$75),3,IF(AND(AW63&gt;=参照データ!$C$80,AW63&lt;=参照データ!$C$78),4,IF(AND(AW63&gt;=参照データ!$C$83,AW63&lt;=参照データ!$C$81),5,IF(AW63&lt;=参照データ!$C$84,6,0))))))</f>
        <v>#VALUE!</v>
      </c>
      <c r="AY63" t="e">
        <f>IF(AV63="男子",VLOOKUP(AX63,参照データ!$C$95:$D$100,2),AX63)</f>
        <v>#VALUE!</v>
      </c>
      <c r="AZ63" s="241" t="str">
        <f t="shared" si="72"/>
        <v/>
      </c>
      <c r="BA63" s="219" t="str">
        <f>IF($J63="○",VLOOKUP($AZ63,参照データ!$B$24:$G$41,3,0),"")</f>
        <v/>
      </c>
      <c r="BB63" s="220" t="str">
        <f>IF($K63="○",VLOOKUP($AZ63,参照データ!$B$24:$G$41,4,0),"")</f>
        <v/>
      </c>
      <c r="BC63" s="220" t="str">
        <f>IF($L63="○",VLOOKUP($AZ63,参照データ!$B$24:$G$41,5,0),"")</f>
        <v/>
      </c>
      <c r="BD63" s="220" t="str">
        <f>IF($M63="○",VLOOKUP($AZ63,参照データ!$B$24:$G$41,6,0),"")</f>
        <v/>
      </c>
      <c r="BE63" s="220" t="str">
        <f>IF($N63="○",VLOOKUP($AZ63,参照データ!$B$24:$H$41,7,0),"")</f>
        <v/>
      </c>
      <c r="BF63" s="221" t="str">
        <f>IF($O63="○",VLOOKUP($AZ63,参照データ!$B$24:$I$41,8,0),"")</f>
        <v/>
      </c>
      <c r="BG63" s="344" t="str">
        <f t="shared" si="18"/>
        <v/>
      </c>
      <c r="BH63" s="242" t="str">
        <f>IF($Q63="入門",VLOOKUP($AZ63,参照データ!$B$46:$U$63,3,0),IF($Q63="初級",VLOOKUP($AZ63,参照データ!$B$46:$U$63,4,0),IF($Q63="中級",VLOOKUP($AZ63,参照データ!$B$46:$U$63,5,0),IF($Q63="上級",VLOOKUP($AZ63,参照データ!$B$46:$U$63,6,0),""))))</f>
        <v/>
      </c>
      <c r="BI63" s="242" t="str">
        <f>IF($R63="初級",VLOOKUP($AZ63,参照データ!$B$46:$U$63,7,0),IF($R63="中級",VLOOKUP($AZ63,参照データ!$B$46:$U$63,8,0),IF($R63="上級",VLOOKUP($AZ63,参照データ!$B$46:$U$63,9,0),"")))</f>
        <v/>
      </c>
      <c r="BJ63" s="242" t="str">
        <f>IF($S63="初級",VLOOKUP($AZ63,参照データ!$B$46:$U$63,10,0),IF($S63="上級",VLOOKUP($AZ63,参照データ!$B$46:$U$63,11,0),""))</f>
        <v/>
      </c>
      <c r="BK63" s="242" t="str">
        <f>IF($T63="初級",VLOOKUP($AZ63,参照データ!$B$46:$U$63,15,0),IF($T63="中級",VLOOKUP($AZ63,参照データ!$B$46:$U$63,16,0),IF($T63="上級",VLOOKUP($AZ63,参照データ!$B$46:$U$63,17,0),"")))</f>
        <v/>
      </c>
      <c r="BL63" s="242" t="str">
        <f>IF($U63="初級",VLOOKUP($AZ63,参照データ!$B$46:$U$63,12,0),IF($U63="中級",VLOOKUP($AZ63,参照データ!$B$46:$U$63,13,0),IF($U63="上級",VLOOKUP($AZ63,参照データ!$B$46:$U$63,14,0),"")))</f>
        <v/>
      </c>
      <c r="BM63" s="21" t="str">
        <f t="shared" si="19"/>
        <v/>
      </c>
      <c r="BN63" s="21" t="str">
        <f>IF($V63="初級",VLOOKUP($AZ63,参照データ!$B$46:$U$63,18,0),IF($V63="中級",VLOOKUP($AZ63,参照データ!$B$46:$U$63,19,0),IF($V63="上級",VLOOKUP($AZ63,参照データ!$B$46:$U$63,20,0),"")))</f>
        <v/>
      </c>
      <c r="BO63" s="604">
        <v>26</v>
      </c>
      <c r="BP63" s="255" t="s">
        <v>290</v>
      </c>
      <c r="BQ63" s="251" t="str">
        <f t="shared" si="73"/>
        <v/>
      </c>
      <c r="BR63" s="594" t="str">
        <f>IF(OR($BQ63="",$BQ64=""),"",IF($BQ63&gt;$BQ64,$BQ63,$BQ64))</f>
        <v/>
      </c>
      <c r="BT63" s="241" t="e">
        <f t="shared" si="86"/>
        <v>#VALUE!</v>
      </c>
      <c r="BU63" s="245" t="str">
        <f>IF($X63="○",VLOOKUP($BT63,参照データ!$D$89:$F$100,3,0),"")</f>
        <v/>
      </c>
      <c r="BV63" s="246" t="str">
        <f t="shared" si="74"/>
        <v/>
      </c>
      <c r="BW63" s="245" t="str">
        <f>IF($Z63="○",VLOOKUP($BT63,参照データ!$D$89:$J$100,7,0),"")</f>
        <v/>
      </c>
      <c r="BX63" s="246" t="str">
        <f t="shared" si="75"/>
        <v/>
      </c>
      <c r="BY63" s="245" t="str">
        <f>IF($AB63="○",VLOOKUP($BT63,参照データ!$D$89:$N$100,11,0),"")</f>
        <v/>
      </c>
      <c r="BZ63" s="246" t="str">
        <f t="shared" si="76"/>
        <v/>
      </c>
      <c r="CA63" s="245" t="str">
        <f>IF($AD63="○",VLOOKUP($BT63,参照データ!$D$89:$T$100,17,0),"")</f>
        <v/>
      </c>
      <c r="CB63" s="246" t="str">
        <f t="shared" si="21"/>
        <v/>
      </c>
      <c r="CC63" s="245" t="str">
        <f>IF($AF63="○",VLOOKUP($BT63,参照データ!$D$89:$T$100,16,0),"")</f>
        <v/>
      </c>
      <c r="CD63" s="246" t="str">
        <f t="shared" si="22"/>
        <v/>
      </c>
      <c r="CE63" s="25">
        <f t="shared" si="23"/>
        <v>0</v>
      </c>
      <c r="CF63" s="312" t="e">
        <f t="shared" si="77"/>
        <v>#N/A</v>
      </c>
      <c r="CG63" s="300" t="str">
        <f t="shared" si="24"/>
        <v/>
      </c>
      <c r="CH63" s="648">
        <v>26</v>
      </c>
      <c r="CI63" s="256" t="s">
        <v>145</v>
      </c>
      <c r="CJ63" s="257" t="e">
        <f t="shared" si="78"/>
        <v>#N/A</v>
      </c>
      <c r="CK63" s="257" t="e">
        <f>VLOOKUP(CJ63,参照データ!$D$89:$R$100,15,0)</f>
        <v>#N/A</v>
      </c>
      <c r="CL63" s="649" t="e">
        <f>IF(OR($CJ63="",$CJ64=""),"",IF($CJ63&gt;$CJ64,$CK63,$CK64))</f>
        <v>#N/A</v>
      </c>
      <c r="CM63" s="289" t="e">
        <f>INDEX(参照データ!$Q$89:$Q$100,MATCH($CL63,参照データ!$R$89:$R$100,0))</f>
        <v>#N/A</v>
      </c>
      <c r="CN63" s="290" t="str">
        <f>IF($AJ63="○",VLOOKUP($BT63,参照データ!$D$89:$V$100,19,0),"")</f>
        <v/>
      </c>
      <c r="CO63" s="246" t="str">
        <f t="shared" si="25"/>
        <v/>
      </c>
      <c r="CQ63" t="e">
        <f>IF(AND($AW63&gt;=参照データ!$C$132,$AW63&lt;=参照データ!$C$130),1,IF(AND($AW63&gt;=参照データ!$C$135,$AW63&lt;=参照データ!$C$133),2,IF(AND($AW63&gt;=参照データ!$C$138,$AW63&lt;=参照データ!$C$136),3,IF($AW63&lt;=参照データ!$C$139,4,0))))</f>
        <v>#VALUE!</v>
      </c>
      <c r="CR63" t="e">
        <f>IF($AV63="男子",VLOOKUP(CQ63,参照データ!$C$143:$D$150,2),CQ63)</f>
        <v>#VALUE!</v>
      </c>
      <c r="CS63" s="388" t="e">
        <f t="shared" si="26"/>
        <v>#VALUE!</v>
      </c>
      <c r="CT63" s="389" t="str">
        <f>IF($AM63="○",VLOOKUP($CS63,参照データ!$D$143:$F$150,3,0),"")</f>
        <v/>
      </c>
      <c r="CU63" s="390" t="str">
        <f t="shared" si="52"/>
        <v/>
      </c>
      <c r="CV63">
        <f t="shared" si="39"/>
        <v>0</v>
      </c>
      <c r="CW63" s="312" t="e">
        <f t="shared" si="79"/>
        <v>#N/A</v>
      </c>
      <c r="CX63" s="391" t="str">
        <f t="shared" si="28"/>
        <v/>
      </c>
      <c r="CY63" s="724">
        <v>26</v>
      </c>
      <c r="CZ63" s="398" t="s">
        <v>145</v>
      </c>
      <c r="DA63" s="399" t="e">
        <f t="shared" si="40"/>
        <v>#N/A</v>
      </c>
      <c r="DB63" s="399" t="e">
        <f>VLOOKUP(DA63,参照データ!$D$143:$J$150,7,0)</f>
        <v>#N/A</v>
      </c>
      <c r="DC63" s="725" t="e">
        <f t="shared" ref="DC63" si="102">IF(OR($DA63="",$DA64=""),"",IF($DA63&gt;$DA64,$DB63,$DB64))</f>
        <v>#N/A</v>
      </c>
      <c r="DD63" s="400" t="e">
        <f>INDEX(参照データ!$I$143:$I$150,MATCH($DC63,参照データ!$J$143:$J$150,0))</f>
        <v>#N/A</v>
      </c>
      <c r="DF63" s="254">
        <f>(COUNTIF($J63:$O63,"&lt;&gt;"))*参照データ!$D$3</f>
        <v>0</v>
      </c>
      <c r="DG63" s="297">
        <f t="shared" si="29"/>
        <v>0</v>
      </c>
      <c r="DH63" s="157" cm="1">
        <f t="array" ref="DH63">(SUM(COUNTIF($Q63:$U63,{"入門","初級"}))*3000)+(SUM(COUNTIF($Q63:$U63,{"中級","上級"})*3500))</f>
        <v>0</v>
      </c>
      <c r="DI63" s="157">
        <f>IFERROR(VLOOKUP(V63,参照データ!$G$3:$I$6,3,0),0)</f>
        <v>0</v>
      </c>
      <c r="DJ63" s="469">
        <f t="shared" si="30"/>
        <v>0</v>
      </c>
      <c r="DK63" s="157">
        <f t="shared" si="31"/>
        <v>0</v>
      </c>
      <c r="DL63" s="157">
        <f t="shared" si="32"/>
        <v>0</v>
      </c>
      <c r="DM63" s="157">
        <f>(COUNTIF($AM63,"○"))*参照データ!$H$13</f>
        <v>0</v>
      </c>
      <c r="DN63" s="157">
        <f>(IF($AO63&gt;0,参照データ!$I$14,0))</f>
        <v>0</v>
      </c>
      <c r="DO63" s="249">
        <f t="array" ref="DO63">SUM(IF(ISERROR($DF63:$DN63),0,($DF63:$DN63)))</f>
        <v>0</v>
      </c>
      <c r="DP63" s="157"/>
      <c r="DQ63" s="157">
        <f t="shared" si="33"/>
        <v>0</v>
      </c>
      <c r="DR63" s="157">
        <f t="shared" si="34"/>
        <v>0</v>
      </c>
      <c r="DS63" s="157">
        <f t="shared" si="35"/>
        <v>0</v>
      </c>
      <c r="DT63" s="157">
        <f t="shared" si="36"/>
        <v>0</v>
      </c>
      <c r="DU63" s="157">
        <f t="shared" si="37"/>
        <v>0</v>
      </c>
      <c r="DV63" t="str">
        <f t="shared" si="81"/>
        <v/>
      </c>
    </row>
    <row r="64" spans="1:126" ht="18.75" customHeight="1" x14ac:dyDescent="0.2">
      <c r="A64">
        <v>52</v>
      </c>
      <c r="B64" s="183" t="str">
        <f>IF(D64="","",IF(D64="重複","",COUNTIF(B$13:$B63,"&gt;0")+1))</f>
        <v/>
      </c>
      <c r="C64" s="264"/>
      <c r="D64" s="134"/>
      <c r="E64" s="134"/>
      <c r="F64" s="135"/>
      <c r="G64" s="137"/>
      <c r="H64" s="169">
        <f t="shared" si="11"/>
        <v>0</v>
      </c>
      <c r="I64" s="170" t="str">
        <f t="shared" si="12"/>
        <v/>
      </c>
      <c r="J64" s="138"/>
      <c r="K64" s="138"/>
      <c r="L64" s="138"/>
      <c r="M64" s="139"/>
      <c r="N64" s="146"/>
      <c r="O64" s="141"/>
      <c r="P64" s="336"/>
      <c r="Q64" s="142"/>
      <c r="R64" s="143"/>
      <c r="S64" s="143"/>
      <c r="T64" s="144"/>
      <c r="U64" s="143"/>
      <c r="V64" s="267"/>
      <c r="W64" s="145"/>
      <c r="X64" s="269"/>
      <c r="Y64" s="148" t="str">
        <f>IF($X64="○",VLOOKUP($AY64,参照データ!$D$89:$E$100,2),"")</f>
        <v/>
      </c>
      <c r="Z64" s="271"/>
      <c r="AA64" s="148" t="str">
        <f>IF($Z64="○",VLOOKUP($AY64,参照データ!$D$89:$J$100,6),"")</f>
        <v/>
      </c>
      <c r="AB64" s="271"/>
      <c r="AC64" s="148" t="str">
        <f>IF($AB64="○",VLOOKUP($AY64,参照データ!$D$89:$N$100,10),"")</f>
        <v/>
      </c>
      <c r="AD64" s="271"/>
      <c r="AE64" s="148" t="str">
        <f>IF($AD64="○",VLOOKUP($AY64,参照データ!$D$89:$Q$100,14),"")</f>
        <v/>
      </c>
      <c r="AF64" s="271"/>
      <c r="AG64" s="148" t="str">
        <f>IF($AF64="○",VLOOKUP($AY64,参照データ!$D$89:$Q$100,14),"")</f>
        <v/>
      </c>
      <c r="AH64" s="266"/>
      <c r="AI64" s="370" t="str">
        <f t="shared" si="38"/>
        <v/>
      </c>
      <c r="AJ64" s="498"/>
      <c r="AK64" s="497" t="str">
        <f>IF($AJ64="○",VLOOKUP($AY64,参照データ!$D$89:$U$100,18),"")</f>
        <v/>
      </c>
      <c r="AL64" s="170" t="str">
        <f t="shared" si="13"/>
        <v/>
      </c>
      <c r="AM64" s="269"/>
      <c r="AN64" s="413" t="str">
        <f>IF($AM64="○",VLOOKUP($CR64,参照データ!$D$143:$E$150,2),"")</f>
        <v/>
      </c>
      <c r="AO64" s="416"/>
      <c r="AP64" s="366" t="str">
        <f t="shared" si="14"/>
        <v/>
      </c>
      <c r="AQ64" s="465"/>
      <c r="AR64" s="466"/>
      <c r="AU64" s="273" t="str">
        <f t="shared" si="82"/>
        <v/>
      </c>
      <c r="AV64" s="274" t="str">
        <f t="shared" si="83"/>
        <v/>
      </c>
      <c r="AW64" s="226" t="e">
        <f t="shared" si="17"/>
        <v>#VALUE!</v>
      </c>
      <c r="AX64" t="e">
        <f>IF(AND(AW64&gt;=参照データ!$C$71,AW64&lt;=参照データ!$C$69),1,IF(AND(AW64&gt;=参照データ!$C$74,AW64&lt;=参照データ!$C$72),2,IF(AND(AW64&gt;=参照データ!$C$77,AW64&lt;=参照データ!$C$75),3,IF(AND(AW64&gt;=参照データ!$C$80,AW64&lt;=参照データ!$C$78),4,IF(AND(AW64&gt;=参照データ!$C$83,AW64&lt;=参照データ!$C$81),5,IF(AW64&lt;=参照データ!$C$84,6,0))))))</f>
        <v>#VALUE!</v>
      </c>
      <c r="AY64" t="e">
        <f>IF(AV64="男子",VLOOKUP(AX64,参照データ!$C$95:$D$100,2),AX64)</f>
        <v>#VALUE!</v>
      </c>
      <c r="AZ64" s="241" t="str">
        <f t="shared" si="72"/>
        <v/>
      </c>
      <c r="BA64" s="219" t="str">
        <f>IF($J64="○",VLOOKUP($AZ64,参照データ!$B$24:$G$41,3,0),"")</f>
        <v/>
      </c>
      <c r="BB64" s="220" t="str">
        <f>IF($K64="○",VLOOKUP($AZ64,参照データ!$B$24:$G$41,4,0),"")</f>
        <v/>
      </c>
      <c r="BC64" s="220" t="str">
        <f>IF($L64="○",VLOOKUP($AZ64,参照データ!$B$24:$G$41,5,0),"")</f>
        <v/>
      </c>
      <c r="BD64" s="220" t="str">
        <f>IF($M64="○",VLOOKUP($AZ64,参照データ!$B$24:$G$41,6,0),"")</f>
        <v/>
      </c>
      <c r="BE64" s="220" t="str">
        <f>IF($N64="○",VLOOKUP($AZ64,参照データ!$B$24:$H$41,7,0),"")</f>
        <v/>
      </c>
      <c r="BF64" s="221" t="str">
        <f>IF($O64="○",VLOOKUP($AZ64,参照データ!$B$24:$I$41,8,0),"")</f>
        <v/>
      </c>
      <c r="BG64" s="344" t="str">
        <f t="shared" si="18"/>
        <v/>
      </c>
      <c r="BH64" s="242" t="str">
        <f>IF($Q64="入門",VLOOKUP($AZ64,参照データ!$B$46:$U$63,3,0),IF($Q64="初級",VLOOKUP($AZ64,参照データ!$B$46:$U$63,4,0),IF($Q64="中級",VLOOKUP($AZ64,参照データ!$B$46:$U$63,5,0),IF($Q64="上級",VLOOKUP($AZ64,参照データ!$B$46:$U$63,6,0),""))))</f>
        <v/>
      </c>
      <c r="BI64" s="242" t="str">
        <f>IF($R64="初級",VLOOKUP($AZ64,参照データ!$B$46:$U$63,7,0),IF($R64="中級",VLOOKUP($AZ64,参照データ!$B$46:$U$63,8,0),IF($R64="上級",VLOOKUP($AZ64,参照データ!$B$46:$U$63,9,0),"")))</f>
        <v/>
      </c>
      <c r="BJ64" s="242" t="str">
        <f>IF($S64="初級",VLOOKUP($AZ64,参照データ!$B$46:$U$63,10,0),IF($S64="上級",VLOOKUP($AZ64,参照データ!$B$46:$U$63,11,0),""))</f>
        <v/>
      </c>
      <c r="BK64" s="242" t="str">
        <f>IF($T64="初級",VLOOKUP($AZ64,参照データ!$B$46:$U$63,15,0),IF($T64="中級",VLOOKUP($AZ64,参照データ!$B$46:$U$63,16,0),IF($T64="上級",VLOOKUP($AZ64,参照データ!$B$46:$U$63,17,0),"")))</f>
        <v/>
      </c>
      <c r="BL64" s="242" t="str">
        <f>IF($U64="初級",VLOOKUP($AZ64,参照データ!$B$46:$U$63,12,0),IF($U64="中級",VLOOKUP($AZ64,参照データ!$B$46:$U$63,13,0),IF($U64="上級",VLOOKUP($AZ64,参照データ!$B$46:$U$63,14,0),"")))</f>
        <v/>
      </c>
      <c r="BM64" s="21" t="str">
        <f t="shared" si="19"/>
        <v/>
      </c>
      <c r="BN64" s="21" t="str">
        <f>IF($V64="初級",VLOOKUP($AZ64,参照データ!$B$46:$U$63,18,0),IF($V64="中級",VLOOKUP($AZ64,参照データ!$B$46:$U$63,19,0),IF($V64="上級",VLOOKUP($AZ64,参照データ!$B$46:$U$63,20,0),"")))</f>
        <v/>
      </c>
      <c r="BO64" s="587"/>
      <c r="BP64" s="250" t="s">
        <v>291</v>
      </c>
      <c r="BQ64" s="251" t="str">
        <f t="shared" si="73"/>
        <v/>
      </c>
      <c r="BR64" s="595"/>
      <c r="BT64" s="241" t="e">
        <f t="shared" si="86"/>
        <v>#VALUE!</v>
      </c>
      <c r="BU64" s="245" t="str">
        <f>IF($X64="○",VLOOKUP($BT64,参照データ!$D$89:$F$100,3,0),"")</f>
        <v/>
      </c>
      <c r="BV64" s="246" t="str">
        <f t="shared" si="74"/>
        <v/>
      </c>
      <c r="BW64" s="245" t="str">
        <f>IF($Z64="○",VLOOKUP($BT64,参照データ!$D$89:$J$100,7,0),"")</f>
        <v/>
      </c>
      <c r="BX64" s="246" t="str">
        <f t="shared" si="75"/>
        <v/>
      </c>
      <c r="BY64" s="245" t="str">
        <f>IF($AB64="○",VLOOKUP($BT64,参照データ!$D$89:$N$100,11,0),"")</f>
        <v/>
      </c>
      <c r="BZ64" s="246" t="str">
        <f t="shared" si="76"/>
        <v/>
      </c>
      <c r="CA64" s="245" t="str">
        <f>IF($AD64="○",VLOOKUP($BT64,参照データ!$D$89:$T$100,17,0),"")</f>
        <v/>
      </c>
      <c r="CB64" s="246" t="str">
        <f t="shared" si="21"/>
        <v/>
      </c>
      <c r="CC64" s="245" t="str">
        <f>IF($AF64="○",VLOOKUP($BT64,参照データ!$D$89:$T$100,16,0),"")</f>
        <v/>
      </c>
      <c r="CD64" s="246" t="str">
        <f t="shared" si="22"/>
        <v/>
      </c>
      <c r="CE64" s="25">
        <f t="shared" si="23"/>
        <v>0</v>
      </c>
      <c r="CF64" s="312" t="e">
        <f t="shared" si="77"/>
        <v>#N/A</v>
      </c>
      <c r="CG64" s="300" t="str">
        <f t="shared" si="24"/>
        <v/>
      </c>
      <c r="CH64" s="645"/>
      <c r="CI64" s="252" t="s">
        <v>146</v>
      </c>
      <c r="CJ64" s="253" t="e">
        <f t="shared" si="78"/>
        <v>#N/A</v>
      </c>
      <c r="CK64" s="253" t="e">
        <f>VLOOKUP(CJ64,参照データ!$D$89:$R$100,15,0)</f>
        <v>#N/A</v>
      </c>
      <c r="CL64" s="647"/>
      <c r="CM64" s="288" t="e">
        <f>CM63</f>
        <v>#N/A</v>
      </c>
      <c r="CN64" s="290" t="str">
        <f>IF($AJ64="○",VLOOKUP($BT64,参照データ!$D$89:$V$100,19,0),"")</f>
        <v/>
      </c>
      <c r="CO64" s="246" t="str">
        <f t="shared" si="25"/>
        <v/>
      </c>
      <c r="CQ64" t="e">
        <f>IF(AND($AW64&gt;=参照データ!$C$132,$AW64&lt;=参照データ!$C$130),1,IF(AND($AW64&gt;=参照データ!$C$135,$AW64&lt;=参照データ!$C$133),2,IF(AND($AW64&gt;=参照データ!$C$138,$AW64&lt;=参照データ!$C$136),3,IF($AW64&lt;=参照データ!$C$139,4,0))))</f>
        <v>#VALUE!</v>
      </c>
      <c r="CR64" t="e">
        <f>IF($AV64="男子",VLOOKUP(CQ64,参照データ!$C$143:$D$150,2),CQ64)</f>
        <v>#VALUE!</v>
      </c>
      <c r="CS64" s="388" t="e">
        <f t="shared" si="26"/>
        <v>#VALUE!</v>
      </c>
      <c r="CT64" s="389" t="str">
        <f>IF($AM64="○",VLOOKUP($CS64,参照データ!$D$143:$F$150,3,0),"")</f>
        <v/>
      </c>
      <c r="CU64" s="390" t="str">
        <f t="shared" si="52"/>
        <v/>
      </c>
      <c r="CV64">
        <f t="shared" si="39"/>
        <v>0</v>
      </c>
      <c r="CW64" s="312" t="e">
        <f t="shared" si="79"/>
        <v>#N/A</v>
      </c>
      <c r="CX64" s="391" t="str">
        <f t="shared" si="28"/>
        <v/>
      </c>
      <c r="CY64" s="721"/>
      <c r="CZ64" s="395" t="s">
        <v>146</v>
      </c>
      <c r="DA64" s="396" t="e">
        <f>VLOOKUP($CZ64,$AO$13:$CQ$72,55,0)</f>
        <v>#N/A</v>
      </c>
      <c r="DB64" s="396" t="e">
        <f>VLOOKUP(DA64,参照データ!$D$143:$J$150,7,0)</f>
        <v>#N/A</v>
      </c>
      <c r="DC64" s="723"/>
      <c r="DD64" s="397" t="e">
        <f t="shared" ref="DD64" si="103">DD63</f>
        <v>#N/A</v>
      </c>
      <c r="DF64" s="254">
        <f>(COUNTIF($J64:$O64,"&lt;&gt;"))*参照データ!$D$3</f>
        <v>0</v>
      </c>
      <c r="DG64" s="297">
        <f t="shared" si="29"/>
        <v>0</v>
      </c>
      <c r="DH64" s="157" cm="1">
        <f t="array" ref="DH64">(SUM(COUNTIF($Q64:$U64,{"入門","初級"}))*3000)+(SUM(COUNTIF($Q64:$U64,{"中級","上級"})*3500))</f>
        <v>0</v>
      </c>
      <c r="DI64" s="157">
        <f>IFERROR(VLOOKUP(V64,参照データ!$G$3:$I$6,3,0),0)</f>
        <v>0</v>
      </c>
      <c r="DJ64" s="469">
        <f t="shared" si="30"/>
        <v>0</v>
      </c>
      <c r="DK64" s="157">
        <f t="shared" si="31"/>
        <v>0</v>
      </c>
      <c r="DL64" s="157">
        <f t="shared" si="32"/>
        <v>0</v>
      </c>
      <c r="DM64" s="157">
        <f>(COUNTIF($AM64,"○"))*参照データ!$H$13</f>
        <v>0</v>
      </c>
      <c r="DN64" s="157">
        <f>(IF($AO64&gt;0,参照データ!$I$14,0))</f>
        <v>0</v>
      </c>
      <c r="DO64" s="249">
        <f t="array" ref="DO64">SUM(IF(ISERROR($DF64:$DN64),0,($DF64:$DN64)))</f>
        <v>0</v>
      </c>
      <c r="DP64" s="157"/>
      <c r="DQ64" s="157">
        <f t="shared" si="33"/>
        <v>0</v>
      </c>
      <c r="DR64" s="157">
        <f t="shared" si="34"/>
        <v>0</v>
      </c>
      <c r="DS64" s="157">
        <f t="shared" si="35"/>
        <v>0</v>
      </c>
      <c r="DT64" s="157">
        <f t="shared" si="36"/>
        <v>0</v>
      </c>
      <c r="DU64" s="157">
        <f t="shared" si="37"/>
        <v>0</v>
      </c>
      <c r="DV64" t="str">
        <f t="shared" si="81"/>
        <v/>
      </c>
    </row>
    <row r="65" spans="1:126" ht="18.75" customHeight="1" x14ac:dyDescent="0.2">
      <c r="A65">
        <v>53</v>
      </c>
      <c r="B65" s="183" t="str">
        <f>IF(D65="","",IF(D65="重複","",COUNTIF(B$13:$B64,"&gt;0")+1))</f>
        <v/>
      </c>
      <c r="C65" s="264"/>
      <c r="D65" s="134"/>
      <c r="E65" s="134"/>
      <c r="F65" s="135"/>
      <c r="G65" s="137"/>
      <c r="H65" s="169">
        <f t="shared" si="11"/>
        <v>0</v>
      </c>
      <c r="I65" s="170" t="str">
        <f t="shared" si="12"/>
        <v/>
      </c>
      <c r="J65" s="138"/>
      <c r="K65" s="138"/>
      <c r="L65" s="138"/>
      <c r="M65" s="139"/>
      <c r="N65" s="146"/>
      <c r="O65" s="141"/>
      <c r="P65" s="336"/>
      <c r="Q65" s="142"/>
      <c r="R65" s="143"/>
      <c r="S65" s="143"/>
      <c r="T65" s="144"/>
      <c r="U65" s="143"/>
      <c r="V65" s="267"/>
      <c r="W65" s="145"/>
      <c r="X65" s="269"/>
      <c r="Y65" s="148" t="str">
        <f>IF($X65="○",VLOOKUP($AY65,参照データ!$D$89:$E$100,2),"")</f>
        <v/>
      </c>
      <c r="Z65" s="271"/>
      <c r="AA65" s="148" t="str">
        <f>IF($Z65="○",VLOOKUP($AY65,参照データ!$D$89:$J$100,6),"")</f>
        <v/>
      </c>
      <c r="AB65" s="271"/>
      <c r="AC65" s="148" t="str">
        <f>IF($AB65="○",VLOOKUP($AY65,参照データ!$D$89:$N$100,10),"")</f>
        <v/>
      </c>
      <c r="AD65" s="271"/>
      <c r="AE65" s="148" t="str">
        <f>IF($AD65="○",VLOOKUP($AY65,参照データ!$D$89:$Q$100,14),"")</f>
        <v/>
      </c>
      <c r="AF65" s="271"/>
      <c r="AG65" s="148" t="str">
        <f>IF($AF65="○",VLOOKUP($AY65,参照データ!$D$89:$Q$100,14),"")</f>
        <v/>
      </c>
      <c r="AH65" s="266"/>
      <c r="AI65" s="370" t="str">
        <f t="shared" si="38"/>
        <v/>
      </c>
      <c r="AJ65" s="498"/>
      <c r="AK65" s="497" t="str">
        <f>IF($AJ65="○",VLOOKUP($AY65,参照データ!$D$89:$U$100,18),"")</f>
        <v/>
      </c>
      <c r="AL65" s="170" t="str">
        <f t="shared" si="13"/>
        <v/>
      </c>
      <c r="AM65" s="269"/>
      <c r="AN65" s="413" t="str">
        <f>IF($AM65="○",VLOOKUP($CR65,参照データ!$D$143:$E$150,2),"")</f>
        <v/>
      </c>
      <c r="AO65" s="416"/>
      <c r="AP65" s="366" t="str">
        <f t="shared" si="14"/>
        <v/>
      </c>
      <c r="AQ65" s="465"/>
      <c r="AR65" s="466"/>
      <c r="AU65" s="273" t="str">
        <f t="shared" si="82"/>
        <v/>
      </c>
      <c r="AV65" s="274" t="str">
        <f t="shared" si="83"/>
        <v/>
      </c>
      <c r="AW65" s="226" t="e">
        <f t="shared" si="17"/>
        <v>#VALUE!</v>
      </c>
      <c r="AX65" t="e">
        <f>IF(AND(AW65&gt;=参照データ!$C$71,AW65&lt;=参照データ!$C$69),1,IF(AND(AW65&gt;=参照データ!$C$74,AW65&lt;=参照データ!$C$72),2,IF(AND(AW65&gt;=参照データ!$C$77,AW65&lt;=参照データ!$C$75),3,IF(AND(AW65&gt;=参照データ!$C$80,AW65&lt;=参照データ!$C$78),4,IF(AND(AW65&gt;=参照データ!$C$83,AW65&lt;=参照データ!$C$81),5,IF(AW65&lt;=参照データ!$C$84,6,0))))))</f>
        <v>#VALUE!</v>
      </c>
      <c r="AY65" t="e">
        <f>IF(AV65="男子",VLOOKUP(AX65,参照データ!$C$95:$D$100,2),AX65)</f>
        <v>#VALUE!</v>
      </c>
      <c r="AZ65" s="241" t="str">
        <f t="shared" si="72"/>
        <v/>
      </c>
      <c r="BA65" s="219" t="str">
        <f>IF($J65="○",VLOOKUP($AZ65,参照データ!$B$24:$G$41,3,0),"")</f>
        <v/>
      </c>
      <c r="BB65" s="220" t="str">
        <f>IF($K65="○",VLOOKUP($AZ65,参照データ!$B$24:$G$41,4,0),"")</f>
        <v/>
      </c>
      <c r="BC65" s="220" t="str">
        <f>IF($L65="○",VLOOKUP($AZ65,参照データ!$B$24:$G$41,5,0),"")</f>
        <v/>
      </c>
      <c r="BD65" s="220" t="str">
        <f>IF($M65="○",VLOOKUP($AZ65,参照データ!$B$24:$G$41,6,0),"")</f>
        <v/>
      </c>
      <c r="BE65" s="220" t="str">
        <f>IF($N65="○",VLOOKUP($AZ65,参照データ!$B$24:$H$41,7,0),"")</f>
        <v/>
      </c>
      <c r="BF65" s="221" t="str">
        <f>IF($O65="○",VLOOKUP($AZ65,参照データ!$B$24:$I$41,8,0),"")</f>
        <v/>
      </c>
      <c r="BG65" s="344" t="str">
        <f t="shared" si="18"/>
        <v/>
      </c>
      <c r="BH65" s="242" t="str">
        <f>IF($Q65="入門",VLOOKUP($AZ65,参照データ!$B$46:$U$63,3,0),IF($Q65="初級",VLOOKUP($AZ65,参照データ!$B$46:$U$63,4,0),IF($Q65="中級",VLOOKUP($AZ65,参照データ!$B$46:$U$63,5,0),IF($Q65="上級",VLOOKUP($AZ65,参照データ!$B$46:$U$63,6,0),""))))</f>
        <v/>
      </c>
      <c r="BI65" s="242" t="str">
        <f>IF($R65="初級",VLOOKUP($AZ65,参照データ!$B$46:$U$63,7,0),IF($R65="中級",VLOOKUP($AZ65,参照データ!$B$46:$U$63,8,0),IF($R65="上級",VLOOKUP($AZ65,参照データ!$B$46:$U$63,9,0),"")))</f>
        <v/>
      </c>
      <c r="BJ65" s="242" t="str">
        <f>IF($S65="初級",VLOOKUP($AZ65,参照データ!$B$46:$U$63,10,0),IF($S65="上級",VLOOKUP($AZ65,参照データ!$B$46:$U$63,11,0),""))</f>
        <v/>
      </c>
      <c r="BK65" s="242" t="str">
        <f>IF($T65="初級",VLOOKUP($AZ65,参照データ!$B$46:$U$63,15,0),IF($T65="中級",VLOOKUP($AZ65,参照データ!$B$46:$U$63,16,0),IF($T65="上級",VLOOKUP($AZ65,参照データ!$B$46:$U$63,17,0),"")))</f>
        <v/>
      </c>
      <c r="BL65" s="242" t="str">
        <f>IF($U65="初級",VLOOKUP($AZ65,参照データ!$B$46:$U$63,12,0),IF($U65="中級",VLOOKUP($AZ65,参照データ!$B$46:$U$63,13,0),IF($U65="上級",VLOOKUP($AZ65,参照データ!$B$46:$U$63,14,0),"")))</f>
        <v/>
      </c>
      <c r="BM65" s="21" t="str">
        <f t="shared" si="19"/>
        <v/>
      </c>
      <c r="BN65" s="21" t="str">
        <f>IF($V65="初級",VLOOKUP($AZ65,参照データ!$B$46:$U$63,18,0),IF($V65="中級",VLOOKUP($AZ65,参照データ!$B$46:$U$63,19,0),IF($V65="上級",VLOOKUP($AZ65,参照データ!$B$46:$U$63,20,0),"")))</f>
        <v/>
      </c>
      <c r="BO65" s="604">
        <v>27</v>
      </c>
      <c r="BP65" s="255" t="s">
        <v>292</v>
      </c>
      <c r="BQ65" s="251" t="str">
        <f t="shared" si="73"/>
        <v/>
      </c>
      <c r="BR65" s="594" t="str">
        <f>IF(OR($BQ65="",$BQ66=""),"",IF($BQ65&gt;$BQ66,$BQ65,$BQ66))</f>
        <v/>
      </c>
      <c r="BT65" s="241" t="e">
        <f t="shared" si="86"/>
        <v>#VALUE!</v>
      </c>
      <c r="BU65" s="245" t="str">
        <f>IF($X65="○",VLOOKUP($BT65,参照データ!$D$89:$F$100,3,0),"")</f>
        <v/>
      </c>
      <c r="BV65" s="246" t="str">
        <f t="shared" si="74"/>
        <v/>
      </c>
      <c r="BW65" s="245" t="str">
        <f>IF($Z65="○",VLOOKUP($BT65,参照データ!$D$89:$J$100,7,0),"")</f>
        <v/>
      </c>
      <c r="BX65" s="246" t="str">
        <f t="shared" si="75"/>
        <v/>
      </c>
      <c r="BY65" s="245" t="str">
        <f>IF($AB65="○",VLOOKUP($BT65,参照データ!$D$89:$N$100,11,0),"")</f>
        <v/>
      </c>
      <c r="BZ65" s="246" t="str">
        <f t="shared" si="76"/>
        <v/>
      </c>
      <c r="CA65" s="245" t="str">
        <f>IF($AD65="○",VLOOKUP($BT65,参照データ!$D$89:$T$100,17,0),"")</f>
        <v/>
      </c>
      <c r="CB65" s="246" t="str">
        <f t="shared" si="21"/>
        <v/>
      </c>
      <c r="CC65" s="245" t="str">
        <f>IF($AF65="○",VLOOKUP($BT65,参照データ!$D$89:$T$100,16,0),"")</f>
        <v/>
      </c>
      <c r="CD65" s="246" t="str">
        <f t="shared" si="22"/>
        <v/>
      </c>
      <c r="CE65" s="25">
        <f t="shared" si="23"/>
        <v>0</v>
      </c>
      <c r="CF65" s="312" t="e">
        <f t="shared" si="77"/>
        <v>#N/A</v>
      </c>
      <c r="CG65" s="300" t="str">
        <f t="shared" si="24"/>
        <v/>
      </c>
      <c r="CH65" s="648">
        <v>27</v>
      </c>
      <c r="CI65" s="256" t="s">
        <v>147</v>
      </c>
      <c r="CJ65" s="257" t="e">
        <f t="shared" si="78"/>
        <v>#N/A</v>
      </c>
      <c r="CK65" s="257" t="e">
        <f>VLOOKUP(CJ65,参照データ!$D$89:$R$100,15,0)</f>
        <v>#N/A</v>
      </c>
      <c r="CL65" s="649" t="e">
        <f>IF(OR($CJ65="",$CJ66=""),"",IF($CJ65&gt;$CJ66,$CK65,$CK66))</f>
        <v>#N/A</v>
      </c>
      <c r="CM65" s="289" t="e">
        <f>INDEX(参照データ!$Q$89:$Q$100,MATCH($CL65,参照データ!$R$89:$R$100,0))</f>
        <v>#N/A</v>
      </c>
      <c r="CN65" s="290" t="str">
        <f>IF($AJ65="○",VLOOKUP($BT65,参照データ!$D$89:$V$100,19,0),"")</f>
        <v/>
      </c>
      <c r="CO65" s="246" t="str">
        <f t="shared" si="25"/>
        <v/>
      </c>
      <c r="CQ65" t="e">
        <f>IF(AND($AW65&gt;=参照データ!$C$132,$AW65&lt;=参照データ!$C$130),1,IF(AND($AW65&gt;=参照データ!$C$135,$AW65&lt;=参照データ!$C$133),2,IF(AND($AW65&gt;=参照データ!$C$138,$AW65&lt;=参照データ!$C$136),3,IF($AW65&lt;=参照データ!$C$139,4,0))))</f>
        <v>#VALUE!</v>
      </c>
      <c r="CR65" t="e">
        <f>IF($AV65="男子",VLOOKUP(CQ65,参照データ!$C$143:$D$150,2),CQ65)</f>
        <v>#VALUE!</v>
      </c>
      <c r="CS65" s="388" t="e">
        <f t="shared" si="26"/>
        <v>#VALUE!</v>
      </c>
      <c r="CT65" s="389" t="str">
        <f>IF($AM65="○",VLOOKUP($CS65,参照データ!$D$143:$F$150,3,0),"")</f>
        <v/>
      </c>
      <c r="CU65" s="390" t="str">
        <f t="shared" si="52"/>
        <v/>
      </c>
      <c r="CV65">
        <f t="shared" si="39"/>
        <v>0</v>
      </c>
      <c r="CW65" s="312" t="e">
        <f t="shared" si="79"/>
        <v>#N/A</v>
      </c>
      <c r="CX65" s="391" t="str">
        <f t="shared" si="28"/>
        <v/>
      </c>
      <c r="CY65" s="724">
        <v>27</v>
      </c>
      <c r="CZ65" s="398" t="s">
        <v>147</v>
      </c>
      <c r="DA65" s="399" t="e">
        <f t="shared" si="40"/>
        <v>#N/A</v>
      </c>
      <c r="DB65" s="399" t="e">
        <f>VLOOKUP(DA65,参照データ!$D$143:$J$150,7,0)</f>
        <v>#N/A</v>
      </c>
      <c r="DC65" s="725" t="e">
        <f t="shared" ref="DC65" si="104">IF(OR($DA65="",$DA66=""),"",IF($DA65&gt;$DA66,$DB65,$DB66))</f>
        <v>#N/A</v>
      </c>
      <c r="DD65" s="400" t="e">
        <f>INDEX(参照データ!$I$143:$I$150,MATCH($DC65,参照データ!$J$143:$J$150,0))</f>
        <v>#N/A</v>
      </c>
      <c r="DF65" s="254">
        <f>(COUNTIF($J65:$O65,"&lt;&gt;"))*参照データ!$D$3</f>
        <v>0</v>
      </c>
      <c r="DG65" s="297">
        <f t="shared" si="29"/>
        <v>0</v>
      </c>
      <c r="DH65" s="157" cm="1">
        <f t="array" ref="DH65">(SUM(COUNTIF($Q65:$U65,{"入門","初級"}))*3000)+(SUM(COUNTIF($Q65:$U65,{"中級","上級"})*3500))</f>
        <v>0</v>
      </c>
      <c r="DI65" s="157">
        <f>IFERROR(VLOOKUP(V65,参照データ!$G$3:$I$6,3,0),0)</f>
        <v>0</v>
      </c>
      <c r="DJ65" s="469">
        <f t="shared" si="30"/>
        <v>0</v>
      </c>
      <c r="DK65" s="157">
        <f t="shared" si="31"/>
        <v>0</v>
      </c>
      <c r="DL65" s="157">
        <f t="shared" si="32"/>
        <v>0</v>
      </c>
      <c r="DM65" s="157">
        <f>(COUNTIF($AM65,"○"))*参照データ!$H$13</f>
        <v>0</v>
      </c>
      <c r="DN65" s="157">
        <f>(IF($AO65&gt;0,参照データ!$I$14,0))</f>
        <v>0</v>
      </c>
      <c r="DO65" s="249">
        <f t="array" ref="DO65">SUM(IF(ISERROR($DF65:$DN65),0,($DF65:$DN65)))</f>
        <v>0</v>
      </c>
      <c r="DP65" s="157"/>
      <c r="DQ65" s="157">
        <f t="shared" si="33"/>
        <v>0</v>
      </c>
      <c r="DR65" s="157">
        <f t="shared" si="34"/>
        <v>0</v>
      </c>
      <c r="DS65" s="157">
        <f t="shared" si="35"/>
        <v>0</v>
      </c>
      <c r="DT65" s="157">
        <f t="shared" si="36"/>
        <v>0</v>
      </c>
      <c r="DU65" s="157">
        <f t="shared" si="37"/>
        <v>0</v>
      </c>
      <c r="DV65" t="str">
        <f t="shared" si="81"/>
        <v/>
      </c>
    </row>
    <row r="66" spans="1:126" ht="18.75" customHeight="1" x14ac:dyDescent="0.2">
      <c r="A66">
        <v>54</v>
      </c>
      <c r="B66" s="183" t="str">
        <f>IF(D66="","",IF(D66="重複","",COUNTIF(B$13:$B65,"&gt;0")+1))</f>
        <v/>
      </c>
      <c r="C66" s="264"/>
      <c r="D66" s="134"/>
      <c r="E66" s="134"/>
      <c r="F66" s="135"/>
      <c r="G66" s="137"/>
      <c r="H66" s="169">
        <f t="shared" si="11"/>
        <v>0</v>
      </c>
      <c r="I66" s="170" t="str">
        <f t="shared" si="12"/>
        <v/>
      </c>
      <c r="J66" s="138"/>
      <c r="K66" s="138"/>
      <c r="L66" s="138"/>
      <c r="M66" s="139"/>
      <c r="N66" s="146"/>
      <c r="O66" s="141"/>
      <c r="P66" s="336"/>
      <c r="Q66" s="142"/>
      <c r="R66" s="143"/>
      <c r="S66" s="143"/>
      <c r="T66" s="144"/>
      <c r="U66" s="143"/>
      <c r="V66" s="267"/>
      <c r="W66" s="145"/>
      <c r="X66" s="269"/>
      <c r="Y66" s="148" t="str">
        <f>IF($X66="○",VLOOKUP($AY66,参照データ!$D$89:$E$100,2),"")</f>
        <v/>
      </c>
      <c r="Z66" s="271"/>
      <c r="AA66" s="148" t="str">
        <f>IF($Z66="○",VLOOKUP($AY66,参照データ!$D$89:$J$100,6),"")</f>
        <v/>
      </c>
      <c r="AB66" s="271"/>
      <c r="AC66" s="148" t="str">
        <f>IF($AB66="○",VLOOKUP($AY66,参照データ!$D$89:$N$100,10),"")</f>
        <v/>
      </c>
      <c r="AD66" s="271"/>
      <c r="AE66" s="148" t="str">
        <f>IF($AD66="○",VLOOKUP($AY66,参照データ!$D$89:$Q$100,14),"")</f>
        <v/>
      </c>
      <c r="AF66" s="271"/>
      <c r="AG66" s="148" t="str">
        <f>IF($AF66="○",VLOOKUP($AY66,参照データ!$D$89:$Q$100,14),"")</f>
        <v/>
      </c>
      <c r="AH66" s="266"/>
      <c r="AI66" s="370" t="str">
        <f t="shared" si="38"/>
        <v/>
      </c>
      <c r="AJ66" s="498"/>
      <c r="AK66" s="497" t="str">
        <f>IF($AJ66="○",VLOOKUP($AY66,参照データ!$D$89:$U$100,18),"")</f>
        <v/>
      </c>
      <c r="AL66" s="170" t="str">
        <f t="shared" si="13"/>
        <v/>
      </c>
      <c r="AM66" s="269"/>
      <c r="AN66" s="413" t="str">
        <f>IF($AM66="○",VLOOKUP($CR66,参照データ!$D$143:$E$150,2),"")</f>
        <v/>
      </c>
      <c r="AO66" s="416"/>
      <c r="AP66" s="366" t="str">
        <f t="shared" si="14"/>
        <v/>
      </c>
      <c r="AQ66" s="465"/>
      <c r="AR66" s="466"/>
      <c r="AU66" s="273" t="str">
        <f t="shared" si="82"/>
        <v/>
      </c>
      <c r="AV66" s="274" t="str">
        <f t="shared" si="83"/>
        <v/>
      </c>
      <c r="AW66" s="226" t="e">
        <f t="shared" si="17"/>
        <v>#VALUE!</v>
      </c>
      <c r="AX66" t="e">
        <f>IF(AND(AW66&gt;=参照データ!$C$71,AW66&lt;=参照データ!$C$69),1,IF(AND(AW66&gt;=参照データ!$C$74,AW66&lt;=参照データ!$C$72),2,IF(AND(AW66&gt;=参照データ!$C$77,AW66&lt;=参照データ!$C$75),3,IF(AND(AW66&gt;=参照データ!$C$80,AW66&lt;=参照データ!$C$78),4,IF(AND(AW66&gt;=参照データ!$C$83,AW66&lt;=参照データ!$C$81),5,IF(AW66&lt;=参照データ!$C$84,6,0))))))</f>
        <v>#VALUE!</v>
      </c>
      <c r="AY66" t="e">
        <f>IF(AV66="男子",VLOOKUP(AX66,参照データ!$C$95:$D$100,2),AX66)</f>
        <v>#VALUE!</v>
      </c>
      <c r="AZ66" s="241" t="str">
        <f t="shared" si="72"/>
        <v/>
      </c>
      <c r="BA66" s="219" t="str">
        <f>IF($J66="○",VLOOKUP($AZ66,参照データ!$B$24:$G$41,3,0),"")</f>
        <v/>
      </c>
      <c r="BB66" s="220" t="str">
        <f>IF($K66="○",VLOOKUP($AZ66,参照データ!$B$24:$G$41,4,0),"")</f>
        <v/>
      </c>
      <c r="BC66" s="220" t="str">
        <f>IF($L66="○",VLOOKUP($AZ66,参照データ!$B$24:$G$41,5,0),"")</f>
        <v/>
      </c>
      <c r="BD66" s="220" t="str">
        <f>IF($M66="○",VLOOKUP($AZ66,参照データ!$B$24:$G$41,6,0),"")</f>
        <v/>
      </c>
      <c r="BE66" s="220" t="str">
        <f>IF($N66="○",VLOOKUP($AZ66,参照データ!$B$24:$H$41,7,0),"")</f>
        <v/>
      </c>
      <c r="BF66" s="221" t="str">
        <f>IF($O66="○",VLOOKUP($AZ66,参照データ!$B$24:$I$41,8,0),"")</f>
        <v/>
      </c>
      <c r="BG66" s="344" t="str">
        <f t="shared" si="18"/>
        <v/>
      </c>
      <c r="BH66" s="242" t="str">
        <f>IF($Q66="入門",VLOOKUP($AZ66,参照データ!$B$46:$U$63,3,0),IF($Q66="初級",VLOOKUP($AZ66,参照データ!$B$46:$U$63,4,0),IF($Q66="中級",VLOOKUP($AZ66,参照データ!$B$46:$U$63,5,0),IF($Q66="上級",VLOOKUP($AZ66,参照データ!$B$46:$U$63,6,0),""))))</f>
        <v/>
      </c>
      <c r="BI66" s="242" t="str">
        <f>IF($R66="初級",VLOOKUP($AZ66,参照データ!$B$46:$U$63,7,0),IF($R66="中級",VLOOKUP($AZ66,参照データ!$B$46:$U$63,8,0),IF($R66="上級",VLOOKUP($AZ66,参照データ!$B$46:$U$63,9,0),"")))</f>
        <v/>
      </c>
      <c r="BJ66" s="242" t="str">
        <f>IF($S66="初級",VLOOKUP($AZ66,参照データ!$B$46:$U$63,10,0),IF($S66="上級",VLOOKUP($AZ66,参照データ!$B$46:$U$63,11,0),""))</f>
        <v/>
      </c>
      <c r="BK66" s="242" t="str">
        <f>IF($T66="初級",VLOOKUP($AZ66,参照データ!$B$46:$U$63,15,0),IF($T66="中級",VLOOKUP($AZ66,参照データ!$B$46:$U$63,16,0),IF($T66="上級",VLOOKUP($AZ66,参照データ!$B$46:$U$63,17,0),"")))</f>
        <v/>
      </c>
      <c r="BL66" s="242" t="str">
        <f>IF($U66="初級",VLOOKUP($AZ66,参照データ!$B$46:$U$63,12,0),IF($U66="中級",VLOOKUP($AZ66,参照データ!$B$46:$U$63,13,0),IF($U66="上級",VLOOKUP($AZ66,参照データ!$B$46:$U$63,14,0),"")))</f>
        <v/>
      </c>
      <c r="BM66" s="21" t="str">
        <f t="shared" si="19"/>
        <v/>
      </c>
      <c r="BN66" s="21" t="str">
        <f>IF($V66="初級",VLOOKUP($AZ66,参照データ!$B$46:$U$63,18,0),IF($V66="中級",VLOOKUP($AZ66,参照データ!$B$46:$U$63,19,0),IF($V66="上級",VLOOKUP($AZ66,参照データ!$B$46:$U$63,20,0),"")))</f>
        <v/>
      </c>
      <c r="BO66" s="587"/>
      <c r="BP66" s="250" t="s">
        <v>293</v>
      </c>
      <c r="BQ66" s="251" t="str">
        <f t="shared" si="73"/>
        <v/>
      </c>
      <c r="BR66" s="595"/>
      <c r="BT66" s="241" t="e">
        <f t="shared" si="86"/>
        <v>#VALUE!</v>
      </c>
      <c r="BU66" s="245" t="str">
        <f>IF($X66="○",VLOOKUP($BT66,参照データ!$D$89:$F$100,3,0),"")</f>
        <v/>
      </c>
      <c r="BV66" s="246" t="str">
        <f t="shared" si="74"/>
        <v/>
      </c>
      <c r="BW66" s="245" t="str">
        <f>IF($Z66="○",VLOOKUP($BT66,参照データ!$D$89:$J$100,7,0),"")</f>
        <v/>
      </c>
      <c r="BX66" s="246" t="str">
        <f t="shared" si="75"/>
        <v/>
      </c>
      <c r="BY66" s="245" t="str">
        <f>IF($AB66="○",VLOOKUP($BT66,参照データ!$D$89:$N$100,11,0),"")</f>
        <v/>
      </c>
      <c r="BZ66" s="246" t="str">
        <f t="shared" si="76"/>
        <v/>
      </c>
      <c r="CA66" s="245" t="str">
        <f>IF($AD66="○",VLOOKUP($BT66,参照データ!$D$89:$T$100,17,0),"")</f>
        <v/>
      </c>
      <c r="CB66" s="246" t="str">
        <f t="shared" si="21"/>
        <v/>
      </c>
      <c r="CC66" s="245" t="str">
        <f>IF($AF66="○",VLOOKUP($BT66,参照データ!$D$89:$T$100,16,0),"")</f>
        <v/>
      </c>
      <c r="CD66" s="246" t="str">
        <f t="shared" si="22"/>
        <v/>
      </c>
      <c r="CE66" s="25">
        <f t="shared" si="23"/>
        <v>0</v>
      </c>
      <c r="CF66" s="312" t="e">
        <f t="shared" si="77"/>
        <v>#N/A</v>
      </c>
      <c r="CG66" s="300" t="str">
        <f t="shared" si="24"/>
        <v/>
      </c>
      <c r="CH66" s="645"/>
      <c r="CI66" s="252" t="s">
        <v>148</v>
      </c>
      <c r="CJ66" s="253" t="e">
        <f t="shared" si="78"/>
        <v>#N/A</v>
      </c>
      <c r="CK66" s="253" t="e">
        <f>VLOOKUP(CJ66,参照データ!$D$89:$R$100,15,0)</f>
        <v>#N/A</v>
      </c>
      <c r="CL66" s="647"/>
      <c r="CM66" s="288" t="e">
        <f>CM65</f>
        <v>#N/A</v>
      </c>
      <c r="CN66" s="290" t="str">
        <f>IF($AJ66="○",VLOOKUP($BT66,参照データ!$D$89:$V$100,19,0),"")</f>
        <v/>
      </c>
      <c r="CO66" s="246" t="str">
        <f t="shared" si="25"/>
        <v/>
      </c>
      <c r="CQ66" t="e">
        <f>IF(AND($AW66&gt;=参照データ!$C$132,$AW66&lt;=参照データ!$C$130),1,IF(AND($AW66&gt;=参照データ!$C$135,$AW66&lt;=参照データ!$C$133),2,IF(AND($AW66&gt;=参照データ!$C$138,$AW66&lt;=参照データ!$C$136),3,IF($AW66&lt;=参照データ!$C$139,4,0))))</f>
        <v>#VALUE!</v>
      </c>
      <c r="CR66" t="e">
        <f>IF($AV66="男子",VLOOKUP(CQ66,参照データ!$C$143:$D$150,2),CQ66)</f>
        <v>#VALUE!</v>
      </c>
      <c r="CS66" s="388" t="e">
        <f t="shared" si="26"/>
        <v>#VALUE!</v>
      </c>
      <c r="CT66" s="389" t="str">
        <f>IF($AM66="○",VLOOKUP($CS66,参照データ!$D$143:$F$150,3,0),"")</f>
        <v/>
      </c>
      <c r="CU66" s="390" t="str">
        <f t="shared" si="52"/>
        <v/>
      </c>
      <c r="CV66">
        <f t="shared" si="39"/>
        <v>0</v>
      </c>
      <c r="CW66" s="312" t="e">
        <f t="shared" si="79"/>
        <v>#N/A</v>
      </c>
      <c r="CX66" s="391" t="str">
        <f t="shared" si="28"/>
        <v/>
      </c>
      <c r="CY66" s="721"/>
      <c r="CZ66" s="395" t="s">
        <v>148</v>
      </c>
      <c r="DA66" s="396" t="e">
        <f t="shared" si="40"/>
        <v>#N/A</v>
      </c>
      <c r="DB66" s="396" t="e">
        <f>VLOOKUP(DA66,参照データ!$D$143:$J$150,7,0)</f>
        <v>#N/A</v>
      </c>
      <c r="DC66" s="723"/>
      <c r="DD66" s="397" t="e">
        <f t="shared" ref="DD66" si="105">DD65</f>
        <v>#N/A</v>
      </c>
      <c r="DF66" s="254">
        <f>(COUNTIF($J66:$O66,"&lt;&gt;"))*参照データ!$D$3</f>
        <v>0</v>
      </c>
      <c r="DG66" s="297">
        <f t="shared" si="29"/>
        <v>0</v>
      </c>
      <c r="DH66" s="157" cm="1">
        <f t="array" ref="DH66">(SUM(COUNTIF($Q66:$U66,{"入門","初級"}))*3000)+(SUM(COUNTIF($Q66:$U66,{"中級","上級"})*3500))</f>
        <v>0</v>
      </c>
      <c r="DI66" s="157">
        <f>IFERROR(VLOOKUP(V66,参照データ!$G$3:$I$6,3,0),0)</f>
        <v>0</v>
      </c>
      <c r="DJ66" s="469">
        <f t="shared" si="30"/>
        <v>0</v>
      </c>
      <c r="DK66" s="157">
        <f t="shared" si="31"/>
        <v>0</v>
      </c>
      <c r="DL66" s="157">
        <f t="shared" si="32"/>
        <v>0</v>
      </c>
      <c r="DM66" s="157">
        <f>(COUNTIF($AM66,"○"))*参照データ!$H$13</f>
        <v>0</v>
      </c>
      <c r="DN66" s="157">
        <f>(IF($AO66&gt;0,参照データ!$I$14,0))</f>
        <v>0</v>
      </c>
      <c r="DO66" s="249">
        <f t="array" ref="DO66">SUM(IF(ISERROR($DF66:$DN66),0,($DF66:$DN66)))</f>
        <v>0</v>
      </c>
      <c r="DP66" s="157"/>
      <c r="DQ66" s="157">
        <f t="shared" si="33"/>
        <v>0</v>
      </c>
      <c r="DR66" s="157">
        <f t="shared" si="34"/>
        <v>0</v>
      </c>
      <c r="DS66" s="157">
        <f t="shared" si="35"/>
        <v>0</v>
      </c>
      <c r="DT66" s="157">
        <f t="shared" si="36"/>
        <v>0</v>
      </c>
      <c r="DU66" s="157">
        <f t="shared" si="37"/>
        <v>0</v>
      </c>
      <c r="DV66" t="str">
        <f t="shared" si="81"/>
        <v/>
      </c>
    </row>
    <row r="67" spans="1:126" ht="18.75" customHeight="1" x14ac:dyDescent="0.2">
      <c r="A67">
        <v>55</v>
      </c>
      <c r="B67" s="183" t="str">
        <f>IF(D67="","",IF(D67="重複","",COUNTIF(B$13:$B66,"&gt;0")+1))</f>
        <v/>
      </c>
      <c r="C67" s="264"/>
      <c r="D67" s="134"/>
      <c r="E67" s="134"/>
      <c r="F67" s="135"/>
      <c r="G67" s="137"/>
      <c r="H67" s="169">
        <f t="shared" si="11"/>
        <v>0</v>
      </c>
      <c r="I67" s="170" t="str">
        <f t="shared" si="12"/>
        <v/>
      </c>
      <c r="J67" s="138"/>
      <c r="K67" s="138"/>
      <c r="L67" s="138"/>
      <c r="M67" s="139"/>
      <c r="N67" s="146"/>
      <c r="O67" s="141"/>
      <c r="P67" s="336"/>
      <c r="Q67" s="142"/>
      <c r="R67" s="143"/>
      <c r="S67" s="143"/>
      <c r="T67" s="144"/>
      <c r="U67" s="143"/>
      <c r="V67" s="267"/>
      <c r="W67" s="145"/>
      <c r="X67" s="269"/>
      <c r="Y67" s="148" t="str">
        <f>IF($X67="○",VLOOKUP($AY67,参照データ!$D$89:$E$100,2),"")</f>
        <v/>
      </c>
      <c r="Z67" s="271"/>
      <c r="AA67" s="148" t="str">
        <f>IF($Z67="○",VLOOKUP($AY67,参照データ!$D$89:$J$100,6),"")</f>
        <v/>
      </c>
      <c r="AB67" s="271"/>
      <c r="AC67" s="148" t="str">
        <f>IF($AB67="○",VLOOKUP($AY67,参照データ!$D$89:$N$100,10),"")</f>
        <v/>
      </c>
      <c r="AD67" s="271"/>
      <c r="AE67" s="148" t="str">
        <f>IF($AD67="○",VLOOKUP($AY67,参照データ!$D$89:$Q$100,14),"")</f>
        <v/>
      </c>
      <c r="AF67" s="271"/>
      <c r="AG67" s="148" t="str">
        <f>IF($AF67="○",VLOOKUP($AY67,参照データ!$D$89:$Q$100,14),"")</f>
        <v/>
      </c>
      <c r="AH67" s="266"/>
      <c r="AI67" s="370" t="str">
        <f t="shared" si="38"/>
        <v/>
      </c>
      <c r="AJ67" s="498"/>
      <c r="AK67" s="497" t="str">
        <f>IF($AJ67="○",VLOOKUP($AY67,参照データ!$D$89:$U$100,18),"")</f>
        <v/>
      </c>
      <c r="AL67" s="170" t="str">
        <f t="shared" si="13"/>
        <v/>
      </c>
      <c r="AM67" s="269"/>
      <c r="AN67" s="413" t="str">
        <f>IF($AM67="○",VLOOKUP($CR67,参照データ!$D$143:$E$150,2),"")</f>
        <v/>
      </c>
      <c r="AO67" s="416"/>
      <c r="AP67" s="366" t="str">
        <f t="shared" si="14"/>
        <v/>
      </c>
      <c r="AQ67" s="465"/>
      <c r="AR67" s="466"/>
      <c r="AU67" s="273" t="str">
        <f t="shared" si="82"/>
        <v/>
      </c>
      <c r="AV67" s="274" t="str">
        <f t="shared" si="83"/>
        <v/>
      </c>
      <c r="AW67" s="226" t="e">
        <f t="shared" si="17"/>
        <v>#VALUE!</v>
      </c>
      <c r="AX67" t="e">
        <f>IF(AND(AW67&gt;=参照データ!$C$71,AW67&lt;=参照データ!$C$69),1,IF(AND(AW67&gt;=参照データ!$C$74,AW67&lt;=参照データ!$C$72),2,IF(AND(AW67&gt;=参照データ!$C$77,AW67&lt;=参照データ!$C$75),3,IF(AND(AW67&gt;=参照データ!$C$80,AW67&lt;=参照データ!$C$78),4,IF(AND(AW67&gt;=参照データ!$C$83,AW67&lt;=参照データ!$C$81),5,IF(AW67&lt;=参照データ!$C$84,6,0))))))</f>
        <v>#VALUE!</v>
      </c>
      <c r="AY67" t="e">
        <f>IF(AV67="男子",VLOOKUP(AX67,参照データ!$C$95:$D$100,2),AX67)</f>
        <v>#VALUE!</v>
      </c>
      <c r="AZ67" s="241" t="str">
        <f t="shared" si="72"/>
        <v/>
      </c>
      <c r="BA67" s="219" t="str">
        <f>IF($J67="○",VLOOKUP($AZ67,参照データ!$B$24:$G$41,3,0),"")</f>
        <v/>
      </c>
      <c r="BB67" s="220" t="str">
        <f>IF($K67="○",VLOOKUP($AZ67,参照データ!$B$24:$G$41,4,0),"")</f>
        <v/>
      </c>
      <c r="BC67" s="220" t="str">
        <f>IF($L67="○",VLOOKUP($AZ67,参照データ!$B$24:$G$41,5,0),"")</f>
        <v/>
      </c>
      <c r="BD67" s="220" t="str">
        <f>IF($M67="○",VLOOKUP($AZ67,参照データ!$B$24:$G$41,6,0),"")</f>
        <v/>
      </c>
      <c r="BE67" s="220" t="str">
        <f>IF($N67="○",VLOOKUP($AZ67,参照データ!$B$24:$H$41,7,0),"")</f>
        <v/>
      </c>
      <c r="BF67" s="221" t="str">
        <f>IF($O67="○",VLOOKUP($AZ67,参照データ!$B$24:$I$41,8,0),"")</f>
        <v/>
      </c>
      <c r="BG67" s="344" t="str">
        <f t="shared" si="18"/>
        <v/>
      </c>
      <c r="BH67" s="242" t="str">
        <f>IF($Q67="入門",VLOOKUP($AZ67,参照データ!$B$46:$U$63,3,0),IF($Q67="初級",VLOOKUP($AZ67,参照データ!$B$46:$U$63,4,0),IF($Q67="中級",VLOOKUP($AZ67,参照データ!$B$46:$U$63,5,0),IF($Q67="上級",VLOOKUP($AZ67,参照データ!$B$46:$U$63,6,0),""))))</f>
        <v/>
      </c>
      <c r="BI67" s="242" t="str">
        <f>IF($R67="初級",VLOOKUP($AZ67,参照データ!$B$46:$U$63,7,0),IF($R67="中級",VLOOKUP($AZ67,参照データ!$B$46:$U$63,8,0),IF($R67="上級",VLOOKUP($AZ67,参照データ!$B$46:$U$63,9,0),"")))</f>
        <v/>
      </c>
      <c r="BJ67" s="242" t="str">
        <f>IF($S67="初級",VLOOKUP($AZ67,参照データ!$B$46:$U$63,10,0),IF($S67="上級",VLOOKUP($AZ67,参照データ!$B$46:$U$63,11,0),""))</f>
        <v/>
      </c>
      <c r="BK67" s="242" t="str">
        <f>IF($T67="初級",VLOOKUP($AZ67,参照データ!$B$46:$U$63,15,0),IF($T67="中級",VLOOKUP($AZ67,参照データ!$B$46:$U$63,16,0),IF($T67="上級",VLOOKUP($AZ67,参照データ!$B$46:$U$63,17,0),"")))</f>
        <v/>
      </c>
      <c r="BL67" s="242" t="str">
        <f>IF($U67="初級",VLOOKUP($AZ67,参照データ!$B$46:$U$63,12,0),IF($U67="中級",VLOOKUP($AZ67,参照データ!$B$46:$U$63,13,0),IF($U67="上級",VLOOKUP($AZ67,参照データ!$B$46:$U$63,14,0),"")))</f>
        <v/>
      </c>
      <c r="BM67" s="21" t="str">
        <f t="shared" si="19"/>
        <v/>
      </c>
      <c r="BN67" s="21" t="str">
        <f>IF($V67="初級",VLOOKUP($AZ67,参照データ!$B$46:$U$63,18,0),IF($V67="中級",VLOOKUP($AZ67,参照データ!$B$46:$U$63,19,0),IF($V67="上級",VLOOKUP($AZ67,参照データ!$B$46:$U$63,20,0),"")))</f>
        <v/>
      </c>
      <c r="BO67" s="604">
        <v>28</v>
      </c>
      <c r="BP67" s="255" t="s">
        <v>294</v>
      </c>
      <c r="BQ67" s="251" t="str">
        <f t="shared" si="73"/>
        <v/>
      </c>
      <c r="BR67" s="594" t="str">
        <f>IF(OR($BQ67="",$BQ68=""),"",IF($BQ67&gt;$BQ68,$BQ67,$BQ68))</f>
        <v/>
      </c>
      <c r="BT67" s="241" t="e">
        <f t="shared" si="86"/>
        <v>#VALUE!</v>
      </c>
      <c r="BU67" s="245" t="str">
        <f>IF($X67="○",VLOOKUP($BT67,参照データ!$D$89:$F$100,3,0),"")</f>
        <v/>
      </c>
      <c r="BV67" s="246" t="str">
        <f t="shared" si="74"/>
        <v/>
      </c>
      <c r="BW67" s="245" t="str">
        <f>IF($Z67="○",VLOOKUP($BT67,参照データ!$D$89:$J$100,7,0),"")</f>
        <v/>
      </c>
      <c r="BX67" s="246" t="str">
        <f t="shared" si="75"/>
        <v/>
      </c>
      <c r="BY67" s="245" t="str">
        <f>IF($AB67="○",VLOOKUP($BT67,参照データ!$D$89:$N$100,11,0),"")</f>
        <v/>
      </c>
      <c r="BZ67" s="246" t="str">
        <f t="shared" si="76"/>
        <v/>
      </c>
      <c r="CA67" s="245" t="str">
        <f>IF($AD67="○",VLOOKUP($BT67,参照データ!$D$89:$T$100,17,0),"")</f>
        <v/>
      </c>
      <c r="CB67" s="246" t="str">
        <f t="shared" si="21"/>
        <v/>
      </c>
      <c r="CC67" s="245" t="str">
        <f>IF($AF67="○",VLOOKUP($BT67,参照データ!$D$89:$T$100,16,0),"")</f>
        <v/>
      </c>
      <c r="CD67" s="246" t="str">
        <f t="shared" si="22"/>
        <v/>
      </c>
      <c r="CE67" s="25">
        <f t="shared" si="23"/>
        <v>0</v>
      </c>
      <c r="CF67" s="312" t="e">
        <f t="shared" si="77"/>
        <v>#N/A</v>
      </c>
      <c r="CG67" s="300" t="str">
        <f t="shared" si="24"/>
        <v/>
      </c>
      <c r="CH67" s="648">
        <v>28</v>
      </c>
      <c r="CI67" s="256" t="s">
        <v>149</v>
      </c>
      <c r="CJ67" s="257" t="e">
        <f t="shared" si="78"/>
        <v>#N/A</v>
      </c>
      <c r="CK67" s="257" t="e">
        <f>VLOOKUP(CJ67,参照データ!$D$89:$R$100,15,0)</f>
        <v>#N/A</v>
      </c>
      <c r="CL67" s="649" t="e">
        <f>IF(OR($CJ67="",$CJ68=""),"",IF($CJ67&gt;$CJ68,$CK67,$CK68))</f>
        <v>#N/A</v>
      </c>
      <c r="CM67" s="289" t="e">
        <f>INDEX(参照データ!$Q$89:$Q$100,MATCH($CL67,参照データ!$R$89:$R$100,0))</f>
        <v>#N/A</v>
      </c>
      <c r="CN67" s="290" t="str">
        <f>IF($AJ67="○",VLOOKUP($BT67,参照データ!$D$89:$V$100,19,0),"")</f>
        <v/>
      </c>
      <c r="CO67" s="246" t="str">
        <f t="shared" si="25"/>
        <v/>
      </c>
      <c r="CQ67" t="e">
        <f>IF(AND($AW67&gt;=参照データ!$C$132,$AW67&lt;=参照データ!$C$130),1,IF(AND($AW67&gt;=参照データ!$C$135,$AW67&lt;=参照データ!$C$133),2,IF(AND($AW67&gt;=参照データ!$C$138,$AW67&lt;=参照データ!$C$136),3,IF($AW67&lt;=参照データ!$C$139,4,0))))</f>
        <v>#VALUE!</v>
      </c>
      <c r="CR67" t="e">
        <f>IF($AV67="男子",VLOOKUP(CQ67,参照データ!$C$143:$D$150,2),CQ67)</f>
        <v>#VALUE!</v>
      </c>
      <c r="CS67" s="388" t="e">
        <f t="shared" si="26"/>
        <v>#VALUE!</v>
      </c>
      <c r="CT67" s="389" t="str">
        <f>IF($AM67="○",VLOOKUP($CS67,参照データ!$D$143:$F$150,3,0),"")</f>
        <v/>
      </c>
      <c r="CU67" s="390" t="str">
        <f t="shared" si="52"/>
        <v/>
      </c>
      <c r="CV67">
        <f t="shared" si="39"/>
        <v>0</v>
      </c>
      <c r="CW67" s="312" t="e">
        <f t="shared" si="79"/>
        <v>#N/A</v>
      </c>
      <c r="CX67" s="391" t="str">
        <f t="shared" si="28"/>
        <v/>
      </c>
      <c r="CY67" s="724">
        <v>28</v>
      </c>
      <c r="CZ67" s="398" t="s">
        <v>149</v>
      </c>
      <c r="DA67" s="399" t="e">
        <f t="shared" si="40"/>
        <v>#N/A</v>
      </c>
      <c r="DB67" s="399" t="e">
        <f>VLOOKUP(DA67,参照データ!$D$143:$J$150,7,0)</f>
        <v>#N/A</v>
      </c>
      <c r="DC67" s="725" t="e">
        <f t="shared" ref="DC67" si="106">IF(OR($DA67="",$DA68=""),"",IF($DA67&gt;$DA68,$DB67,$DB68))</f>
        <v>#N/A</v>
      </c>
      <c r="DD67" s="400" t="e">
        <f>INDEX(参照データ!$I$143:$I$150,MATCH($DC67,参照データ!$J$143:$J$150,0))</f>
        <v>#N/A</v>
      </c>
      <c r="DF67" s="254">
        <f>(COUNTIF($J67:$O67,"&lt;&gt;"))*参照データ!$D$3</f>
        <v>0</v>
      </c>
      <c r="DG67" s="297">
        <f t="shared" si="29"/>
        <v>0</v>
      </c>
      <c r="DH67" s="157" cm="1">
        <f t="array" ref="DH67">(SUM(COUNTIF($Q67:$U67,{"入門","初級"}))*3000)+(SUM(COUNTIF($Q67:$U67,{"中級","上級"})*3500))</f>
        <v>0</v>
      </c>
      <c r="DI67" s="157">
        <f>IFERROR(VLOOKUP(V67,参照データ!$G$3:$I$6,3,0),0)</f>
        <v>0</v>
      </c>
      <c r="DJ67" s="469">
        <f t="shared" si="30"/>
        <v>0</v>
      </c>
      <c r="DK67" s="157">
        <f t="shared" si="31"/>
        <v>0</v>
      </c>
      <c r="DL67" s="157">
        <f t="shared" si="32"/>
        <v>0</v>
      </c>
      <c r="DM67" s="157">
        <f>(COUNTIF($AM67,"○"))*参照データ!$H$13</f>
        <v>0</v>
      </c>
      <c r="DN67" s="157">
        <f>(IF($AO67&gt;0,参照データ!$I$14,0))</f>
        <v>0</v>
      </c>
      <c r="DO67" s="249">
        <f t="array" ref="DO67">SUM(IF(ISERROR($DF67:$DN67),0,($DF67:$DN67)))</f>
        <v>0</v>
      </c>
      <c r="DP67" s="157"/>
      <c r="DQ67" s="157">
        <f t="shared" si="33"/>
        <v>0</v>
      </c>
      <c r="DR67" s="157">
        <f t="shared" si="34"/>
        <v>0</v>
      </c>
      <c r="DS67" s="157">
        <f t="shared" si="35"/>
        <v>0</v>
      </c>
      <c r="DT67" s="157">
        <f t="shared" si="36"/>
        <v>0</v>
      </c>
      <c r="DU67" s="157">
        <f t="shared" si="37"/>
        <v>0</v>
      </c>
      <c r="DV67" t="str">
        <f t="shared" si="81"/>
        <v/>
      </c>
    </row>
    <row r="68" spans="1:126" ht="18.75" customHeight="1" x14ac:dyDescent="0.2">
      <c r="A68">
        <v>56</v>
      </c>
      <c r="B68" s="183" t="str">
        <f>IF(D68="","",IF(D68="重複","",COUNTIF(B$13:$B67,"&gt;0")+1))</f>
        <v/>
      </c>
      <c r="C68" s="264"/>
      <c r="D68" s="134"/>
      <c r="E68" s="134"/>
      <c r="F68" s="135"/>
      <c r="G68" s="137"/>
      <c r="H68" s="169">
        <f t="shared" si="11"/>
        <v>0</v>
      </c>
      <c r="I68" s="170" t="str">
        <f t="shared" si="12"/>
        <v/>
      </c>
      <c r="J68" s="138"/>
      <c r="K68" s="138"/>
      <c r="L68" s="138"/>
      <c r="M68" s="139"/>
      <c r="N68" s="146"/>
      <c r="O68" s="141"/>
      <c r="P68" s="336"/>
      <c r="Q68" s="142"/>
      <c r="R68" s="143"/>
      <c r="S68" s="143"/>
      <c r="T68" s="144"/>
      <c r="U68" s="143"/>
      <c r="V68" s="267"/>
      <c r="W68" s="145"/>
      <c r="X68" s="269"/>
      <c r="Y68" s="148" t="str">
        <f>IF($X68="○",VLOOKUP($AY68,参照データ!$D$89:$E$100,2),"")</f>
        <v/>
      </c>
      <c r="Z68" s="271"/>
      <c r="AA68" s="148" t="str">
        <f>IF($Z68="○",VLOOKUP($AY68,参照データ!$D$89:$J$100,6),"")</f>
        <v/>
      </c>
      <c r="AB68" s="271"/>
      <c r="AC68" s="148" t="str">
        <f>IF($AB68="○",VLOOKUP($AY68,参照データ!$D$89:$N$100,10),"")</f>
        <v/>
      </c>
      <c r="AD68" s="271"/>
      <c r="AE68" s="148" t="str">
        <f>IF($AD68="○",VLOOKUP($AY68,参照データ!$D$89:$Q$100,14),"")</f>
        <v/>
      </c>
      <c r="AF68" s="271"/>
      <c r="AG68" s="148" t="str">
        <f>IF($AF68="○",VLOOKUP($AY68,参照データ!$D$89:$Q$100,14),"")</f>
        <v/>
      </c>
      <c r="AH68" s="266"/>
      <c r="AI68" s="370" t="str">
        <f t="shared" si="38"/>
        <v/>
      </c>
      <c r="AJ68" s="498"/>
      <c r="AK68" s="497" t="str">
        <f>IF($AJ68="○",VLOOKUP($AY68,参照データ!$D$89:$U$100,18),"")</f>
        <v/>
      </c>
      <c r="AL68" s="170" t="str">
        <f t="shared" si="13"/>
        <v/>
      </c>
      <c r="AM68" s="269"/>
      <c r="AN68" s="413" t="str">
        <f>IF($AM68="○",VLOOKUP($CR68,参照データ!$D$143:$E$150,2),"")</f>
        <v/>
      </c>
      <c r="AO68" s="416"/>
      <c r="AP68" s="366" t="str">
        <f t="shared" si="14"/>
        <v/>
      </c>
      <c r="AQ68" s="465"/>
      <c r="AR68" s="466"/>
      <c r="AU68" s="273" t="str">
        <f t="shared" si="82"/>
        <v/>
      </c>
      <c r="AV68" s="274" t="str">
        <f t="shared" si="83"/>
        <v/>
      </c>
      <c r="AW68" s="226" t="e">
        <f t="shared" si="17"/>
        <v>#VALUE!</v>
      </c>
      <c r="AX68" t="e">
        <f>IF(AND(AW68&gt;=参照データ!$C$71,AW68&lt;=参照データ!$C$69),1,IF(AND(AW68&gt;=参照データ!$C$74,AW68&lt;=参照データ!$C$72),2,IF(AND(AW68&gt;=参照データ!$C$77,AW68&lt;=参照データ!$C$75),3,IF(AND(AW68&gt;=参照データ!$C$80,AW68&lt;=参照データ!$C$78),4,IF(AND(AW68&gt;=参照データ!$C$83,AW68&lt;=参照データ!$C$81),5,IF(AW68&lt;=参照データ!$C$84,6,0))))))</f>
        <v>#VALUE!</v>
      </c>
      <c r="AY68" t="e">
        <f>IF(AV68="男子",VLOOKUP(AX68,参照データ!$C$95:$D$100,2),AX68)</f>
        <v>#VALUE!</v>
      </c>
      <c r="AZ68" s="241" t="str">
        <f t="shared" si="72"/>
        <v/>
      </c>
      <c r="BA68" s="219" t="str">
        <f>IF($J68="○",VLOOKUP($AZ68,参照データ!$B$24:$G$41,3,0),"")</f>
        <v/>
      </c>
      <c r="BB68" s="220" t="str">
        <f>IF($K68="○",VLOOKUP($AZ68,参照データ!$B$24:$G$41,4,0),"")</f>
        <v/>
      </c>
      <c r="BC68" s="220" t="str">
        <f>IF($L68="○",VLOOKUP($AZ68,参照データ!$B$24:$G$41,5,0),"")</f>
        <v/>
      </c>
      <c r="BD68" s="220" t="str">
        <f>IF($M68="○",VLOOKUP($AZ68,参照データ!$B$24:$G$41,6,0),"")</f>
        <v/>
      </c>
      <c r="BE68" s="220" t="str">
        <f>IF($N68="○",VLOOKUP($AZ68,参照データ!$B$24:$H$41,7,0),"")</f>
        <v/>
      </c>
      <c r="BF68" s="221" t="str">
        <f>IF($O68="○",VLOOKUP($AZ68,参照データ!$B$24:$I$41,8,0),"")</f>
        <v/>
      </c>
      <c r="BG68" s="344" t="str">
        <f t="shared" si="18"/>
        <v/>
      </c>
      <c r="BH68" s="242" t="str">
        <f>IF($Q68="入門",VLOOKUP($AZ68,参照データ!$B$46:$U$63,3,0),IF($Q68="初級",VLOOKUP($AZ68,参照データ!$B$46:$U$63,4,0),IF($Q68="中級",VLOOKUP($AZ68,参照データ!$B$46:$U$63,5,0),IF($Q68="上級",VLOOKUP($AZ68,参照データ!$B$46:$U$63,6,0),""))))</f>
        <v/>
      </c>
      <c r="BI68" s="242" t="str">
        <f>IF($R68="初級",VLOOKUP($AZ68,参照データ!$B$46:$U$63,7,0),IF($R68="中級",VLOOKUP($AZ68,参照データ!$B$46:$U$63,8,0),IF($R68="上級",VLOOKUP($AZ68,参照データ!$B$46:$U$63,9,0),"")))</f>
        <v/>
      </c>
      <c r="BJ68" s="242" t="str">
        <f>IF($S68="初級",VLOOKUP($AZ68,参照データ!$B$46:$U$63,10,0),IF($S68="上級",VLOOKUP($AZ68,参照データ!$B$46:$U$63,11,0),""))</f>
        <v/>
      </c>
      <c r="BK68" s="242" t="str">
        <f>IF($T68="初級",VLOOKUP($AZ68,参照データ!$B$46:$U$63,15,0),IF($T68="中級",VLOOKUP($AZ68,参照データ!$B$46:$U$63,16,0),IF($T68="上級",VLOOKUP($AZ68,参照データ!$B$46:$U$63,17,0),"")))</f>
        <v/>
      </c>
      <c r="BL68" s="242" t="str">
        <f>IF($U68="初級",VLOOKUP($AZ68,参照データ!$B$46:$U$63,12,0),IF($U68="中級",VLOOKUP($AZ68,参照データ!$B$46:$U$63,13,0),IF($U68="上級",VLOOKUP($AZ68,参照データ!$B$46:$U$63,14,0),"")))</f>
        <v/>
      </c>
      <c r="BM68" s="21" t="str">
        <f t="shared" si="19"/>
        <v/>
      </c>
      <c r="BN68" s="21" t="str">
        <f>IF($V68="初級",VLOOKUP($AZ68,参照データ!$B$46:$U$63,18,0),IF($V68="中級",VLOOKUP($AZ68,参照データ!$B$46:$U$63,19,0),IF($V68="上級",VLOOKUP($AZ68,参照データ!$B$46:$U$63,20,0),"")))</f>
        <v/>
      </c>
      <c r="BO68" s="587"/>
      <c r="BP68" s="250" t="s">
        <v>295</v>
      </c>
      <c r="BQ68" s="251" t="str">
        <f t="shared" si="73"/>
        <v/>
      </c>
      <c r="BR68" s="595"/>
      <c r="BT68" s="241" t="e">
        <f t="shared" si="86"/>
        <v>#VALUE!</v>
      </c>
      <c r="BU68" s="245" t="str">
        <f>IF($X68="○",VLOOKUP($BT68,参照データ!$D$89:$F$100,3,0),"")</f>
        <v/>
      </c>
      <c r="BV68" s="246" t="str">
        <f t="shared" si="74"/>
        <v/>
      </c>
      <c r="BW68" s="245" t="str">
        <f>IF($Z68="○",VLOOKUP($BT68,参照データ!$D$89:$J$100,7,0),"")</f>
        <v/>
      </c>
      <c r="BX68" s="246" t="str">
        <f t="shared" si="75"/>
        <v/>
      </c>
      <c r="BY68" s="245" t="str">
        <f>IF($AB68="○",VLOOKUP($BT68,参照データ!$D$89:$N$100,11,0),"")</f>
        <v/>
      </c>
      <c r="BZ68" s="246" t="str">
        <f t="shared" si="76"/>
        <v/>
      </c>
      <c r="CA68" s="245" t="str">
        <f>IF($AD68="○",VLOOKUP($BT68,参照データ!$D$89:$T$100,17,0),"")</f>
        <v/>
      </c>
      <c r="CB68" s="246" t="str">
        <f t="shared" si="21"/>
        <v/>
      </c>
      <c r="CC68" s="245" t="str">
        <f>IF($AF68="○",VLOOKUP($BT68,参照データ!$D$89:$T$100,16,0),"")</f>
        <v/>
      </c>
      <c r="CD68" s="246" t="str">
        <f t="shared" si="22"/>
        <v/>
      </c>
      <c r="CE68" s="25">
        <f t="shared" si="23"/>
        <v>0</v>
      </c>
      <c r="CF68" s="312" t="e">
        <f t="shared" si="77"/>
        <v>#N/A</v>
      </c>
      <c r="CG68" s="300" t="str">
        <f t="shared" si="24"/>
        <v/>
      </c>
      <c r="CH68" s="645"/>
      <c r="CI68" s="252" t="s">
        <v>150</v>
      </c>
      <c r="CJ68" s="253" t="e">
        <f t="shared" si="78"/>
        <v>#N/A</v>
      </c>
      <c r="CK68" s="253" t="e">
        <f>VLOOKUP(CJ68,参照データ!$D$89:$R$100,15,0)</f>
        <v>#N/A</v>
      </c>
      <c r="CL68" s="647"/>
      <c r="CM68" s="288" t="e">
        <f>CM67</f>
        <v>#N/A</v>
      </c>
      <c r="CN68" s="290" t="str">
        <f>IF($AJ68="○",VLOOKUP($BT68,参照データ!$D$89:$V$100,19,0),"")</f>
        <v/>
      </c>
      <c r="CO68" s="246" t="str">
        <f t="shared" si="25"/>
        <v/>
      </c>
      <c r="CQ68" t="e">
        <f>IF(AND($AW68&gt;=参照データ!$C$132,$AW68&lt;=参照データ!$C$130),1,IF(AND($AW68&gt;=参照データ!$C$135,$AW68&lt;=参照データ!$C$133),2,IF(AND($AW68&gt;=参照データ!$C$138,$AW68&lt;=参照データ!$C$136),3,IF($AW68&lt;=参照データ!$C$139,4,0))))</f>
        <v>#VALUE!</v>
      </c>
      <c r="CR68" t="e">
        <f>IF($AV68="男子",VLOOKUP(CQ68,参照データ!$C$143:$D$150,2),CQ68)</f>
        <v>#VALUE!</v>
      </c>
      <c r="CS68" s="388" t="e">
        <f t="shared" si="26"/>
        <v>#VALUE!</v>
      </c>
      <c r="CT68" s="389" t="str">
        <f>IF($AM68="○",VLOOKUP($CS68,参照データ!$D$143:$F$150,3,0),"")</f>
        <v/>
      </c>
      <c r="CU68" s="390" t="str">
        <f t="shared" si="52"/>
        <v/>
      </c>
      <c r="CV68">
        <f t="shared" si="39"/>
        <v>0</v>
      </c>
      <c r="CW68" s="312" t="e">
        <f t="shared" si="79"/>
        <v>#N/A</v>
      </c>
      <c r="CX68" s="391" t="str">
        <f t="shared" si="28"/>
        <v/>
      </c>
      <c r="CY68" s="721"/>
      <c r="CZ68" s="395" t="s">
        <v>150</v>
      </c>
      <c r="DA68" s="396" t="e">
        <f t="shared" si="40"/>
        <v>#N/A</v>
      </c>
      <c r="DB68" s="396" t="e">
        <f>VLOOKUP(DA68,参照データ!$D$143:$J$150,7,0)</f>
        <v>#N/A</v>
      </c>
      <c r="DC68" s="723"/>
      <c r="DD68" s="397" t="e">
        <f t="shared" ref="DD68" si="107">DD67</f>
        <v>#N/A</v>
      </c>
      <c r="DF68" s="254">
        <f>(COUNTIF($J68:$O68,"&lt;&gt;"))*参照データ!$D$3</f>
        <v>0</v>
      </c>
      <c r="DG68" s="297">
        <f t="shared" si="29"/>
        <v>0</v>
      </c>
      <c r="DH68" s="157" cm="1">
        <f t="array" ref="DH68">(SUM(COUNTIF($Q68:$U68,{"入門","初級"}))*3000)+(SUM(COUNTIF($Q68:$U68,{"中級","上級"})*3500))</f>
        <v>0</v>
      </c>
      <c r="DI68" s="157">
        <f>IFERROR(VLOOKUP(V68,参照データ!$G$3:$I$6,3,0),0)</f>
        <v>0</v>
      </c>
      <c r="DJ68" s="469">
        <f t="shared" si="30"/>
        <v>0</v>
      </c>
      <c r="DK68" s="157">
        <f t="shared" si="31"/>
        <v>0</v>
      </c>
      <c r="DL68" s="157">
        <f t="shared" si="32"/>
        <v>0</v>
      </c>
      <c r="DM68" s="157">
        <f>(COUNTIF($AM68,"○"))*参照データ!$H$13</f>
        <v>0</v>
      </c>
      <c r="DN68" s="157">
        <f>(IF($AO68&gt;0,参照データ!$I$14,0))</f>
        <v>0</v>
      </c>
      <c r="DO68" s="249">
        <f t="array" ref="DO68">SUM(IF(ISERROR($DF68:$DN68),0,($DF68:$DN68)))</f>
        <v>0</v>
      </c>
      <c r="DP68" s="157"/>
      <c r="DQ68" s="157">
        <f t="shared" si="33"/>
        <v>0</v>
      </c>
      <c r="DR68" s="157">
        <f t="shared" si="34"/>
        <v>0</v>
      </c>
      <c r="DS68" s="157">
        <f t="shared" si="35"/>
        <v>0</v>
      </c>
      <c r="DT68" s="157">
        <f t="shared" si="36"/>
        <v>0</v>
      </c>
      <c r="DU68" s="157">
        <f t="shared" si="37"/>
        <v>0</v>
      </c>
      <c r="DV68" t="str">
        <f t="shared" si="81"/>
        <v/>
      </c>
    </row>
    <row r="69" spans="1:126" ht="18.75" customHeight="1" x14ac:dyDescent="0.2">
      <c r="A69">
        <v>57</v>
      </c>
      <c r="B69" s="183" t="str">
        <f>IF(D69="","",IF(D69="重複","",COUNTIF(B$13:$B68,"&gt;0")+1))</f>
        <v/>
      </c>
      <c r="C69" s="264"/>
      <c r="D69" s="134"/>
      <c r="E69" s="134"/>
      <c r="F69" s="135"/>
      <c r="G69" s="137"/>
      <c r="H69" s="169">
        <f t="shared" si="11"/>
        <v>0</v>
      </c>
      <c r="I69" s="170" t="str">
        <f t="shared" si="12"/>
        <v/>
      </c>
      <c r="J69" s="138"/>
      <c r="K69" s="138"/>
      <c r="L69" s="138"/>
      <c r="M69" s="139"/>
      <c r="N69" s="146"/>
      <c r="O69" s="141"/>
      <c r="P69" s="336"/>
      <c r="Q69" s="142"/>
      <c r="R69" s="143"/>
      <c r="S69" s="143"/>
      <c r="T69" s="144"/>
      <c r="U69" s="143"/>
      <c r="V69" s="267"/>
      <c r="W69" s="145"/>
      <c r="X69" s="269"/>
      <c r="Y69" s="148" t="str">
        <f>IF($X69="○",VLOOKUP($AY69,参照データ!$D$89:$E$100,2),"")</f>
        <v/>
      </c>
      <c r="Z69" s="271"/>
      <c r="AA69" s="148" t="str">
        <f>IF($Z69="○",VLOOKUP($AY69,参照データ!$D$89:$J$100,6),"")</f>
        <v/>
      </c>
      <c r="AB69" s="271"/>
      <c r="AC69" s="148" t="str">
        <f>IF($AB69="○",VLOOKUP($AY69,参照データ!$D$89:$N$100,10),"")</f>
        <v/>
      </c>
      <c r="AD69" s="271"/>
      <c r="AE69" s="148" t="str">
        <f>IF($AD69="○",VLOOKUP($AY69,参照データ!$D$89:$Q$100,14),"")</f>
        <v/>
      </c>
      <c r="AF69" s="271"/>
      <c r="AG69" s="148" t="str">
        <f>IF($AF69="○",VLOOKUP($AY69,参照データ!$D$89:$Q$100,14),"")</f>
        <v/>
      </c>
      <c r="AH69" s="266"/>
      <c r="AI69" s="370" t="str">
        <f t="shared" si="38"/>
        <v/>
      </c>
      <c r="AJ69" s="498"/>
      <c r="AK69" s="497" t="str">
        <f>IF($AJ69="○",VLOOKUP($AY69,参照データ!$D$89:$U$100,18),"")</f>
        <v/>
      </c>
      <c r="AL69" s="170" t="str">
        <f t="shared" si="13"/>
        <v/>
      </c>
      <c r="AM69" s="269"/>
      <c r="AN69" s="413" t="str">
        <f>IF($AM69="○",VLOOKUP($CR69,参照データ!$D$143:$E$150,2),"")</f>
        <v/>
      </c>
      <c r="AO69" s="416"/>
      <c r="AP69" s="366" t="str">
        <f t="shared" si="14"/>
        <v/>
      </c>
      <c r="AQ69" s="465"/>
      <c r="AR69" s="466"/>
      <c r="AU69" s="273" t="str">
        <f t="shared" si="82"/>
        <v/>
      </c>
      <c r="AV69" s="274" t="str">
        <f t="shared" si="83"/>
        <v/>
      </c>
      <c r="AW69" s="226" t="e">
        <f t="shared" si="17"/>
        <v>#VALUE!</v>
      </c>
      <c r="AX69" t="e">
        <f>IF(AND(AW69&gt;=参照データ!$C$71,AW69&lt;=参照データ!$C$69),1,IF(AND(AW69&gt;=参照データ!$C$74,AW69&lt;=参照データ!$C$72),2,IF(AND(AW69&gt;=参照データ!$C$77,AW69&lt;=参照データ!$C$75),3,IF(AND(AW69&gt;=参照データ!$C$80,AW69&lt;=参照データ!$C$78),4,IF(AND(AW69&gt;=参照データ!$C$83,AW69&lt;=参照データ!$C$81),5,IF(AW69&lt;=参照データ!$C$84,6,0))))))</f>
        <v>#VALUE!</v>
      </c>
      <c r="AY69" t="e">
        <f>IF(AV69="男子",VLOOKUP(AX69,参照データ!$C$95:$D$100,2),AX69)</f>
        <v>#VALUE!</v>
      </c>
      <c r="AZ69" s="241" t="str">
        <f t="shared" si="72"/>
        <v/>
      </c>
      <c r="BA69" s="219" t="str">
        <f>IF($J69="○",VLOOKUP($AZ69,参照データ!$B$24:$G$41,3,0),"")</f>
        <v/>
      </c>
      <c r="BB69" s="220" t="str">
        <f>IF($K69="○",VLOOKUP($AZ69,参照データ!$B$24:$G$41,4,0),"")</f>
        <v/>
      </c>
      <c r="BC69" s="220" t="str">
        <f>IF($L69="○",VLOOKUP($AZ69,参照データ!$B$24:$G$41,5,0),"")</f>
        <v/>
      </c>
      <c r="BD69" s="220" t="str">
        <f>IF($M69="○",VLOOKUP($AZ69,参照データ!$B$24:$G$41,6,0),"")</f>
        <v/>
      </c>
      <c r="BE69" s="220" t="str">
        <f>IF($N69="○",VLOOKUP($AZ69,参照データ!$B$24:$H$41,7,0),"")</f>
        <v/>
      </c>
      <c r="BF69" s="221" t="str">
        <f>IF($O69="○",VLOOKUP($AZ69,参照データ!$B$24:$I$41,8,0),"")</f>
        <v/>
      </c>
      <c r="BG69" s="344" t="str">
        <f t="shared" si="18"/>
        <v/>
      </c>
      <c r="BH69" s="242" t="str">
        <f>IF($Q69="入門",VLOOKUP($AZ69,参照データ!$B$46:$U$63,3,0),IF($Q69="初級",VLOOKUP($AZ69,参照データ!$B$46:$U$63,4,0),IF($Q69="中級",VLOOKUP($AZ69,参照データ!$B$46:$U$63,5,0),IF($Q69="上級",VLOOKUP($AZ69,参照データ!$B$46:$U$63,6,0),""))))</f>
        <v/>
      </c>
      <c r="BI69" s="242" t="str">
        <f>IF($R69="初級",VLOOKUP($AZ69,参照データ!$B$46:$U$63,7,0),IF($R69="中級",VLOOKUP($AZ69,参照データ!$B$46:$U$63,8,0),IF($R69="上級",VLOOKUP($AZ69,参照データ!$B$46:$U$63,9,0),"")))</f>
        <v/>
      </c>
      <c r="BJ69" s="242" t="str">
        <f>IF($S69="初級",VLOOKUP($AZ69,参照データ!$B$46:$U$63,10,0),IF($S69="上級",VLOOKUP($AZ69,参照データ!$B$46:$U$63,11,0),""))</f>
        <v/>
      </c>
      <c r="BK69" s="242" t="str">
        <f>IF($T69="初級",VLOOKUP($AZ69,参照データ!$B$46:$U$63,15,0),IF($T69="中級",VLOOKUP($AZ69,参照データ!$B$46:$U$63,16,0),IF($T69="上級",VLOOKUP($AZ69,参照データ!$B$46:$U$63,17,0),"")))</f>
        <v/>
      </c>
      <c r="BL69" s="242" t="str">
        <f>IF($U69="初級",VLOOKUP($AZ69,参照データ!$B$46:$U$63,12,0),IF($U69="中級",VLOOKUP($AZ69,参照データ!$B$46:$U$63,13,0),IF($U69="上級",VLOOKUP($AZ69,参照データ!$B$46:$U$63,14,0),"")))</f>
        <v/>
      </c>
      <c r="BM69" s="21" t="str">
        <f t="shared" si="19"/>
        <v/>
      </c>
      <c r="BN69" s="21" t="str">
        <f>IF($V69="初級",VLOOKUP($AZ69,参照データ!$B$46:$U$63,18,0),IF($V69="中級",VLOOKUP($AZ69,参照データ!$B$46:$U$63,19,0),IF($V69="上級",VLOOKUP($AZ69,参照データ!$B$46:$U$63,20,0),"")))</f>
        <v/>
      </c>
      <c r="BO69" s="604">
        <v>29</v>
      </c>
      <c r="BP69" s="255" t="s">
        <v>296</v>
      </c>
      <c r="BQ69" s="251" t="str">
        <f t="shared" si="73"/>
        <v/>
      </c>
      <c r="BR69" s="594" t="str">
        <f>IF(OR($BQ69="",$BQ70=""),"",IF($BQ69&gt;$BQ70,$BQ69,$BQ70))</f>
        <v/>
      </c>
      <c r="BT69" s="241" t="e">
        <f t="shared" si="86"/>
        <v>#VALUE!</v>
      </c>
      <c r="BU69" s="245" t="str">
        <f>IF($X69="○",VLOOKUP($BT69,参照データ!$D$89:$F$100,3,0),"")</f>
        <v/>
      </c>
      <c r="BV69" s="246" t="str">
        <f t="shared" si="74"/>
        <v/>
      </c>
      <c r="BW69" s="245" t="str">
        <f>IF($Z69="○",VLOOKUP($BT69,参照データ!$D$89:$J$100,7,0),"")</f>
        <v/>
      </c>
      <c r="BX69" s="246" t="str">
        <f t="shared" si="75"/>
        <v/>
      </c>
      <c r="BY69" s="245" t="str">
        <f>IF($AB69="○",VLOOKUP($BT69,参照データ!$D$89:$N$100,11,0),"")</f>
        <v/>
      </c>
      <c r="BZ69" s="246" t="str">
        <f t="shared" si="76"/>
        <v/>
      </c>
      <c r="CA69" s="245" t="str">
        <f>IF($AD69="○",VLOOKUP($BT69,参照データ!$D$89:$T$100,17,0),"")</f>
        <v/>
      </c>
      <c r="CB69" s="246" t="str">
        <f t="shared" si="21"/>
        <v/>
      </c>
      <c r="CC69" s="245" t="str">
        <f>IF($AF69="○",VLOOKUP($BT69,参照データ!$D$89:$T$100,16,0),"")</f>
        <v/>
      </c>
      <c r="CD69" s="246" t="str">
        <f t="shared" si="22"/>
        <v/>
      </c>
      <c r="CE69" s="25">
        <f t="shared" si="23"/>
        <v>0</v>
      </c>
      <c r="CF69" s="312" t="e">
        <f t="shared" si="77"/>
        <v>#N/A</v>
      </c>
      <c r="CG69" s="300" t="str">
        <f t="shared" si="24"/>
        <v/>
      </c>
      <c r="CH69" s="648">
        <v>29</v>
      </c>
      <c r="CI69" s="256" t="s">
        <v>151</v>
      </c>
      <c r="CJ69" s="257" t="e">
        <f t="shared" si="78"/>
        <v>#N/A</v>
      </c>
      <c r="CK69" s="257" t="e">
        <f>VLOOKUP(CJ69,参照データ!$D$89:$R$100,15,0)</f>
        <v>#N/A</v>
      </c>
      <c r="CL69" s="649" t="e">
        <f>IF(OR($CJ69="",$CJ70=""),"",IF($CJ69&gt;$CJ70,$CK69,$CK70))</f>
        <v>#N/A</v>
      </c>
      <c r="CM69" s="289" t="e">
        <f>INDEX(参照データ!$Q$89:$Q$100,MATCH($CL69,参照データ!$R$89:$R$100,0))</f>
        <v>#N/A</v>
      </c>
      <c r="CN69" s="290" t="str">
        <f>IF($AJ69="○",VLOOKUP($BT69,参照データ!$D$89:$V$100,19,0),"")</f>
        <v/>
      </c>
      <c r="CO69" s="246" t="str">
        <f t="shared" si="25"/>
        <v/>
      </c>
      <c r="CQ69" t="e">
        <f>IF(AND($AW69&gt;=参照データ!$C$132,$AW69&lt;=参照データ!$C$130),1,IF(AND($AW69&gt;=参照データ!$C$135,$AW69&lt;=参照データ!$C$133),2,IF(AND($AW69&gt;=参照データ!$C$138,$AW69&lt;=参照データ!$C$136),3,IF($AW69&lt;=参照データ!$C$139,4,0))))</f>
        <v>#VALUE!</v>
      </c>
      <c r="CR69" t="e">
        <f>IF($AV69="男子",VLOOKUP(CQ69,参照データ!$C$143:$D$150,2),CQ69)</f>
        <v>#VALUE!</v>
      </c>
      <c r="CS69" s="388" t="e">
        <f t="shared" si="26"/>
        <v>#VALUE!</v>
      </c>
      <c r="CT69" s="389" t="str">
        <f>IF($AM69="○",VLOOKUP($CS69,参照データ!$D$143:$F$150,3,0),"")</f>
        <v/>
      </c>
      <c r="CU69" s="390" t="str">
        <f t="shared" si="52"/>
        <v/>
      </c>
      <c r="CV69">
        <f t="shared" si="39"/>
        <v>0</v>
      </c>
      <c r="CW69" s="312" t="e">
        <f t="shared" si="79"/>
        <v>#N/A</v>
      </c>
      <c r="CX69" s="391" t="str">
        <f t="shared" si="28"/>
        <v/>
      </c>
      <c r="CY69" s="724">
        <v>29</v>
      </c>
      <c r="CZ69" s="398" t="s">
        <v>151</v>
      </c>
      <c r="DA69" s="399" t="e">
        <f t="shared" si="40"/>
        <v>#N/A</v>
      </c>
      <c r="DB69" s="399" t="e">
        <f>VLOOKUP(DA69,参照データ!$D$143:$J$150,7,0)</f>
        <v>#N/A</v>
      </c>
      <c r="DC69" s="725" t="e">
        <f t="shared" ref="DC69" si="108">IF(OR($DA69="",$DA70=""),"",IF($DA69&gt;$DA70,$DB69,$DB70))</f>
        <v>#N/A</v>
      </c>
      <c r="DD69" s="400" t="e">
        <f>INDEX(参照データ!$I$143:$I$150,MATCH($DC69,参照データ!$J$143:$J$150,0))</f>
        <v>#N/A</v>
      </c>
      <c r="DF69" s="254">
        <f>(COUNTIF($J69:$O69,"&lt;&gt;"))*参照データ!$D$3</f>
        <v>0</v>
      </c>
      <c r="DG69" s="297">
        <f t="shared" si="29"/>
        <v>0</v>
      </c>
      <c r="DH69" s="157" cm="1">
        <f t="array" ref="DH69">(SUM(COUNTIF($Q69:$U69,{"入門","初級"}))*3000)+(SUM(COUNTIF($Q69:$U69,{"中級","上級"})*3500))</f>
        <v>0</v>
      </c>
      <c r="DI69" s="157">
        <f>IFERROR(VLOOKUP(V69,参照データ!$G$3:$I$6,3,0),0)</f>
        <v>0</v>
      </c>
      <c r="DJ69" s="469">
        <f t="shared" si="30"/>
        <v>0</v>
      </c>
      <c r="DK69" s="157">
        <f t="shared" si="31"/>
        <v>0</v>
      </c>
      <c r="DL69" s="157">
        <f t="shared" si="32"/>
        <v>0</v>
      </c>
      <c r="DM69" s="157">
        <f>(COUNTIF($AM69,"○"))*参照データ!$H$13</f>
        <v>0</v>
      </c>
      <c r="DN69" s="157">
        <f>(IF($AO69&gt;0,参照データ!$I$14,0))</f>
        <v>0</v>
      </c>
      <c r="DO69" s="249">
        <f t="array" ref="DO69">SUM(IF(ISERROR($DF69:$DN69),0,($DF69:$DN69)))</f>
        <v>0</v>
      </c>
      <c r="DP69" s="157"/>
      <c r="DQ69" s="157">
        <f t="shared" si="33"/>
        <v>0</v>
      </c>
      <c r="DR69" s="157">
        <f t="shared" si="34"/>
        <v>0</v>
      </c>
      <c r="DS69" s="157">
        <f t="shared" si="35"/>
        <v>0</v>
      </c>
      <c r="DT69" s="157">
        <f t="shared" si="36"/>
        <v>0</v>
      </c>
      <c r="DU69" s="157">
        <f t="shared" si="37"/>
        <v>0</v>
      </c>
      <c r="DV69" t="str">
        <f t="shared" si="81"/>
        <v/>
      </c>
    </row>
    <row r="70" spans="1:126" ht="18.75" customHeight="1" x14ac:dyDescent="0.2">
      <c r="A70">
        <v>58</v>
      </c>
      <c r="B70" s="183" t="str">
        <f>IF(D70="","",IF(D70="重複","",COUNTIF(B$13:$B69,"&gt;0")+1))</f>
        <v/>
      </c>
      <c r="C70" s="264"/>
      <c r="D70" s="134"/>
      <c r="E70" s="134"/>
      <c r="F70" s="135"/>
      <c r="G70" s="137"/>
      <c r="H70" s="169">
        <f t="shared" si="11"/>
        <v>0</v>
      </c>
      <c r="I70" s="170" t="str">
        <f t="shared" si="12"/>
        <v/>
      </c>
      <c r="J70" s="138"/>
      <c r="K70" s="138"/>
      <c r="L70" s="138"/>
      <c r="M70" s="139"/>
      <c r="N70" s="146"/>
      <c r="O70" s="141"/>
      <c r="P70" s="336"/>
      <c r="Q70" s="142"/>
      <c r="R70" s="143"/>
      <c r="S70" s="143"/>
      <c r="T70" s="144"/>
      <c r="U70" s="143"/>
      <c r="V70" s="267"/>
      <c r="W70" s="145"/>
      <c r="X70" s="269"/>
      <c r="Y70" s="148" t="str">
        <f>IF($X70="○",VLOOKUP($AY70,参照データ!$D$89:$E$100,2),"")</f>
        <v/>
      </c>
      <c r="Z70" s="271"/>
      <c r="AA70" s="148" t="str">
        <f>IF($Z70="○",VLOOKUP($AY70,参照データ!$D$89:$J$100,6),"")</f>
        <v/>
      </c>
      <c r="AB70" s="271"/>
      <c r="AC70" s="148" t="str">
        <f>IF($AB70="○",VLOOKUP($AY70,参照データ!$D$89:$N$100,10),"")</f>
        <v/>
      </c>
      <c r="AD70" s="271"/>
      <c r="AE70" s="148" t="str">
        <f>IF($AD70="○",VLOOKUP($AY70,参照データ!$D$89:$Q$100,14),"")</f>
        <v/>
      </c>
      <c r="AF70" s="271"/>
      <c r="AG70" s="148" t="str">
        <f>IF($AF70="○",VLOOKUP($AY70,参照データ!$D$89:$Q$100,14),"")</f>
        <v/>
      </c>
      <c r="AH70" s="266"/>
      <c r="AI70" s="370" t="str">
        <f t="shared" si="38"/>
        <v/>
      </c>
      <c r="AJ70" s="498"/>
      <c r="AK70" s="497" t="str">
        <f>IF($AJ70="○",VLOOKUP($AY70,参照データ!$D$89:$U$100,18),"")</f>
        <v/>
      </c>
      <c r="AL70" s="170" t="str">
        <f t="shared" si="13"/>
        <v/>
      </c>
      <c r="AM70" s="269"/>
      <c r="AN70" s="413" t="str">
        <f>IF($AM70="○",VLOOKUP($CR70,参照データ!$D$143:$E$150,2),"")</f>
        <v/>
      </c>
      <c r="AO70" s="416"/>
      <c r="AP70" s="366" t="str">
        <f t="shared" si="14"/>
        <v/>
      </c>
      <c r="AQ70" s="465"/>
      <c r="AR70" s="466"/>
      <c r="AU70" s="273" t="str">
        <f t="shared" si="82"/>
        <v/>
      </c>
      <c r="AV70" s="274" t="str">
        <f t="shared" si="83"/>
        <v/>
      </c>
      <c r="AW70" s="226" t="e">
        <f t="shared" si="17"/>
        <v>#VALUE!</v>
      </c>
      <c r="AX70" t="e">
        <f>IF(AND(AW70&gt;=参照データ!$C$71,AW70&lt;=参照データ!$C$69),1,IF(AND(AW70&gt;=参照データ!$C$74,AW70&lt;=参照データ!$C$72),2,IF(AND(AW70&gt;=参照データ!$C$77,AW70&lt;=参照データ!$C$75),3,IF(AND(AW70&gt;=参照データ!$C$80,AW70&lt;=参照データ!$C$78),4,IF(AND(AW70&gt;=参照データ!$C$83,AW70&lt;=参照データ!$C$81),5,IF(AW70&lt;=参照データ!$C$84,6,0))))))</f>
        <v>#VALUE!</v>
      </c>
      <c r="AY70" t="e">
        <f>IF(AV70="男子",VLOOKUP(AX70,参照データ!$C$95:$D$100,2),AX70)</f>
        <v>#VALUE!</v>
      </c>
      <c r="AZ70" s="241" t="str">
        <f t="shared" si="72"/>
        <v/>
      </c>
      <c r="BA70" s="219" t="str">
        <f>IF($J70="○",VLOOKUP($AZ70,参照データ!$B$24:$G$41,3,0),"")</f>
        <v/>
      </c>
      <c r="BB70" s="220" t="str">
        <f>IF($K70="○",VLOOKUP($AZ70,参照データ!$B$24:$G$41,4,0),"")</f>
        <v/>
      </c>
      <c r="BC70" s="220" t="str">
        <f>IF($L70="○",VLOOKUP($AZ70,参照データ!$B$24:$G$41,5,0),"")</f>
        <v/>
      </c>
      <c r="BD70" s="220" t="str">
        <f>IF($M70="○",VLOOKUP($AZ70,参照データ!$B$24:$G$41,6,0),"")</f>
        <v/>
      </c>
      <c r="BE70" s="220" t="str">
        <f>IF($N70="○",VLOOKUP($AZ70,参照データ!$B$24:$H$41,7,0),"")</f>
        <v/>
      </c>
      <c r="BF70" s="221" t="str">
        <f>IF($O70="○",VLOOKUP($AZ70,参照データ!$B$24:$I$41,8,0),"")</f>
        <v/>
      </c>
      <c r="BG70" s="344" t="str">
        <f t="shared" si="18"/>
        <v/>
      </c>
      <c r="BH70" s="242" t="str">
        <f>IF($Q70="入門",VLOOKUP($AZ70,参照データ!$B$46:$U$63,3,0),IF($Q70="初級",VLOOKUP($AZ70,参照データ!$B$46:$U$63,4,0),IF($Q70="中級",VLOOKUP($AZ70,参照データ!$B$46:$U$63,5,0),IF($Q70="上級",VLOOKUP($AZ70,参照データ!$B$46:$U$63,6,0),""))))</f>
        <v/>
      </c>
      <c r="BI70" s="242" t="str">
        <f>IF($R70="初級",VLOOKUP($AZ70,参照データ!$B$46:$U$63,7,0),IF($R70="中級",VLOOKUP($AZ70,参照データ!$B$46:$U$63,8,0),IF($R70="上級",VLOOKUP($AZ70,参照データ!$B$46:$U$63,9,0),"")))</f>
        <v/>
      </c>
      <c r="BJ70" s="242" t="str">
        <f>IF($S70="初級",VLOOKUP($AZ70,参照データ!$B$46:$U$63,10,0),IF($S70="上級",VLOOKUP($AZ70,参照データ!$B$46:$U$63,11,0),""))</f>
        <v/>
      </c>
      <c r="BK70" s="242" t="str">
        <f>IF($T70="初級",VLOOKUP($AZ70,参照データ!$B$46:$U$63,15,0),IF($T70="中級",VLOOKUP($AZ70,参照データ!$B$46:$U$63,16,0),IF($T70="上級",VLOOKUP($AZ70,参照データ!$B$46:$U$63,17,0),"")))</f>
        <v/>
      </c>
      <c r="BL70" s="242" t="str">
        <f>IF($U70="初級",VLOOKUP($AZ70,参照データ!$B$46:$U$63,12,0),IF($U70="中級",VLOOKUP($AZ70,参照データ!$B$46:$U$63,13,0),IF($U70="上級",VLOOKUP($AZ70,参照データ!$B$46:$U$63,14,0),"")))</f>
        <v/>
      </c>
      <c r="BM70" s="21" t="str">
        <f t="shared" si="19"/>
        <v/>
      </c>
      <c r="BN70" s="21" t="str">
        <f>IF($V70="初級",VLOOKUP($AZ70,参照データ!$B$46:$U$63,18,0),IF($V70="中級",VLOOKUP($AZ70,参照データ!$B$46:$U$63,19,0),IF($V70="上級",VLOOKUP($AZ70,参照データ!$B$46:$U$63,20,0),"")))</f>
        <v/>
      </c>
      <c r="BO70" s="587"/>
      <c r="BP70" s="250" t="s">
        <v>297</v>
      </c>
      <c r="BQ70" s="251" t="str">
        <f t="shared" si="73"/>
        <v/>
      </c>
      <c r="BR70" s="595"/>
      <c r="BT70" s="241" t="e">
        <f t="shared" si="86"/>
        <v>#VALUE!</v>
      </c>
      <c r="BU70" s="245" t="str">
        <f>IF($X70="○",VLOOKUP($BT70,参照データ!$D$89:$F$100,3,0),"")</f>
        <v/>
      </c>
      <c r="BV70" s="246" t="str">
        <f t="shared" si="74"/>
        <v/>
      </c>
      <c r="BW70" s="245" t="str">
        <f>IF($Z70="○",VLOOKUP($BT70,参照データ!$D$89:$J$100,7,0),"")</f>
        <v/>
      </c>
      <c r="BX70" s="246" t="str">
        <f t="shared" si="75"/>
        <v/>
      </c>
      <c r="BY70" s="245" t="str">
        <f>IF($AB70="○",VLOOKUP($BT70,参照データ!$D$89:$N$100,11,0),"")</f>
        <v/>
      </c>
      <c r="BZ70" s="246" t="str">
        <f t="shared" si="76"/>
        <v/>
      </c>
      <c r="CA70" s="245" t="str">
        <f>IF($AD70="○",VLOOKUP($BT70,参照データ!$D$89:$T$100,17,0),"")</f>
        <v/>
      </c>
      <c r="CB70" s="246" t="str">
        <f t="shared" si="21"/>
        <v/>
      </c>
      <c r="CC70" s="245" t="str">
        <f>IF($AF70="○",VLOOKUP($BT70,参照データ!$D$89:$T$100,16,0),"")</f>
        <v/>
      </c>
      <c r="CD70" s="246" t="str">
        <f t="shared" si="22"/>
        <v/>
      </c>
      <c r="CE70" s="25">
        <f t="shared" si="23"/>
        <v>0</v>
      </c>
      <c r="CF70" s="312" t="e">
        <f t="shared" si="77"/>
        <v>#N/A</v>
      </c>
      <c r="CG70" s="300" t="str">
        <f t="shared" si="24"/>
        <v/>
      </c>
      <c r="CH70" s="645"/>
      <c r="CI70" s="252" t="s">
        <v>152</v>
      </c>
      <c r="CJ70" s="253" t="e">
        <f t="shared" si="78"/>
        <v>#N/A</v>
      </c>
      <c r="CK70" s="253" t="e">
        <f>VLOOKUP(CJ70,参照データ!$D$89:$R$100,15,0)</f>
        <v>#N/A</v>
      </c>
      <c r="CL70" s="647"/>
      <c r="CM70" s="288" t="e">
        <f>CM69</f>
        <v>#N/A</v>
      </c>
      <c r="CN70" s="290" t="str">
        <f>IF($AJ70="○",VLOOKUP($BT70,参照データ!$D$89:$V$100,19,0),"")</f>
        <v/>
      </c>
      <c r="CO70" s="246" t="str">
        <f t="shared" si="25"/>
        <v/>
      </c>
      <c r="CQ70" t="e">
        <f>IF(AND($AW70&gt;=参照データ!$C$132,$AW70&lt;=参照データ!$C$130),1,IF(AND($AW70&gt;=参照データ!$C$135,$AW70&lt;=参照データ!$C$133),2,IF(AND($AW70&gt;=参照データ!$C$138,$AW70&lt;=参照データ!$C$136),3,IF($AW70&lt;=参照データ!$C$139,4,0))))</f>
        <v>#VALUE!</v>
      </c>
      <c r="CR70" t="e">
        <f>IF($AV70="男子",VLOOKUP(CQ70,参照データ!$C$143:$D$150,2),CQ70)</f>
        <v>#VALUE!</v>
      </c>
      <c r="CS70" s="388" t="e">
        <f t="shared" si="26"/>
        <v>#VALUE!</v>
      </c>
      <c r="CT70" s="389" t="str">
        <f>IF($AM70="○",VLOOKUP($CS70,参照データ!$D$143:$F$150,3,0),"")</f>
        <v/>
      </c>
      <c r="CU70" s="390" t="str">
        <f t="shared" si="52"/>
        <v/>
      </c>
      <c r="CV70">
        <f t="shared" si="39"/>
        <v>0</v>
      </c>
      <c r="CW70" s="312" t="e">
        <f t="shared" si="79"/>
        <v>#N/A</v>
      </c>
      <c r="CX70" s="391" t="str">
        <f t="shared" si="28"/>
        <v/>
      </c>
      <c r="CY70" s="721"/>
      <c r="CZ70" s="395" t="s">
        <v>152</v>
      </c>
      <c r="DA70" s="396" t="e">
        <f t="shared" si="40"/>
        <v>#N/A</v>
      </c>
      <c r="DB70" s="396" t="e">
        <f>VLOOKUP(DA70,参照データ!$D$143:$J$150,7,0)</f>
        <v>#N/A</v>
      </c>
      <c r="DC70" s="723"/>
      <c r="DD70" s="397" t="e">
        <f t="shared" ref="DD70" si="109">DD69</f>
        <v>#N/A</v>
      </c>
      <c r="DF70" s="254">
        <f>(COUNTIF($J70:$O70,"&lt;&gt;"))*参照データ!$D$3</f>
        <v>0</v>
      </c>
      <c r="DG70" s="297">
        <f t="shared" si="29"/>
        <v>0</v>
      </c>
      <c r="DH70" s="157" cm="1">
        <f t="array" ref="DH70">(SUM(COUNTIF($Q70:$U70,{"入門","初級"}))*3000)+(SUM(COUNTIF($Q70:$U70,{"中級","上級"})*3500))</f>
        <v>0</v>
      </c>
      <c r="DI70" s="157">
        <f>IFERROR(VLOOKUP(V70,参照データ!$G$3:$I$6,3,0),0)</f>
        <v>0</v>
      </c>
      <c r="DJ70" s="469">
        <f t="shared" si="30"/>
        <v>0</v>
      </c>
      <c r="DK70" s="157">
        <f t="shared" si="31"/>
        <v>0</v>
      </c>
      <c r="DL70" s="157">
        <f t="shared" si="32"/>
        <v>0</v>
      </c>
      <c r="DM70" s="157">
        <f>(COUNTIF($AM70,"○"))*参照データ!$H$13</f>
        <v>0</v>
      </c>
      <c r="DN70" s="157">
        <f>(IF($AO70&gt;0,参照データ!$I$14,0))</f>
        <v>0</v>
      </c>
      <c r="DO70" s="249">
        <f t="array" ref="DO70">SUM(IF(ISERROR($DF70:$DN70),0,($DF70:$DN70)))</f>
        <v>0</v>
      </c>
      <c r="DP70" s="157"/>
      <c r="DQ70" s="157">
        <f t="shared" si="33"/>
        <v>0</v>
      </c>
      <c r="DR70" s="157">
        <f t="shared" si="34"/>
        <v>0</v>
      </c>
      <c r="DS70" s="157">
        <f t="shared" si="35"/>
        <v>0</v>
      </c>
      <c r="DT70" s="157">
        <f t="shared" si="36"/>
        <v>0</v>
      </c>
      <c r="DU70" s="157">
        <f t="shared" si="37"/>
        <v>0</v>
      </c>
      <c r="DV70" t="str">
        <f t="shared" si="81"/>
        <v/>
      </c>
    </row>
    <row r="71" spans="1:126" ht="18.75" customHeight="1" x14ac:dyDescent="0.2">
      <c r="A71">
        <v>59</v>
      </c>
      <c r="B71" s="183" t="str">
        <f>IF(D71="","",IF(D71="重複","",COUNTIF(B$13:$B70,"&gt;0")+1))</f>
        <v/>
      </c>
      <c r="C71" s="264"/>
      <c r="D71" s="134"/>
      <c r="E71" s="134"/>
      <c r="F71" s="135"/>
      <c r="G71" s="137"/>
      <c r="H71" s="169">
        <f t="shared" si="11"/>
        <v>0</v>
      </c>
      <c r="I71" s="170" t="str">
        <f t="shared" si="12"/>
        <v/>
      </c>
      <c r="J71" s="138"/>
      <c r="K71" s="138"/>
      <c r="L71" s="138"/>
      <c r="M71" s="139"/>
      <c r="N71" s="146"/>
      <c r="O71" s="141"/>
      <c r="P71" s="336"/>
      <c r="Q71" s="142"/>
      <c r="R71" s="143"/>
      <c r="S71" s="143"/>
      <c r="T71" s="144"/>
      <c r="U71" s="143"/>
      <c r="V71" s="267"/>
      <c r="W71" s="147"/>
      <c r="X71" s="269"/>
      <c r="Y71" s="148" t="str">
        <f>IF($X71="○",VLOOKUP($AY71,参照データ!$D$89:$E$100,2),"")</f>
        <v/>
      </c>
      <c r="Z71" s="271"/>
      <c r="AA71" s="148" t="str">
        <f>IF($Z71="○",VLOOKUP($AY71,参照データ!$D$89:$J$100,6),"")</f>
        <v/>
      </c>
      <c r="AB71" s="271"/>
      <c r="AC71" s="148" t="str">
        <f>IF($AB71="○",VLOOKUP($AY71,参照データ!$D$89:$N$100,10),"")</f>
        <v/>
      </c>
      <c r="AD71" s="271"/>
      <c r="AE71" s="148" t="str">
        <f>IF($AD71="○",VLOOKUP($AY71,参照データ!$D$89:$Q$100,14),"")</f>
        <v/>
      </c>
      <c r="AF71" s="271"/>
      <c r="AG71" s="148" t="str">
        <f>IF($AF71="○",VLOOKUP($AY71,参照データ!$D$89:$Q$100,14),"")</f>
        <v/>
      </c>
      <c r="AH71" s="266"/>
      <c r="AI71" s="370" t="str">
        <f t="shared" si="38"/>
        <v/>
      </c>
      <c r="AJ71" s="498"/>
      <c r="AK71" s="497" t="str">
        <f>IF($AJ71="○",VLOOKUP($AY71,参照データ!$D$89:$U$100,18),"")</f>
        <v/>
      </c>
      <c r="AL71" s="170" t="str">
        <f t="shared" si="13"/>
        <v/>
      </c>
      <c r="AM71" s="269"/>
      <c r="AN71" s="413" t="str">
        <f>IF($AM71="○",VLOOKUP($CR71,参照データ!$D$143:$E$150,2),"")</f>
        <v/>
      </c>
      <c r="AO71" s="416"/>
      <c r="AP71" s="366" t="str">
        <f t="shared" si="14"/>
        <v/>
      </c>
      <c r="AQ71" s="465"/>
      <c r="AR71" s="466"/>
      <c r="AU71" s="273" t="str">
        <f t="shared" si="82"/>
        <v/>
      </c>
      <c r="AV71" s="274" t="str">
        <f t="shared" si="83"/>
        <v/>
      </c>
      <c r="AW71" s="226" t="e">
        <f t="shared" si="17"/>
        <v>#VALUE!</v>
      </c>
      <c r="AX71" t="e">
        <f>IF(AND(AW71&gt;=参照データ!$C$71,AW71&lt;=参照データ!$C$69),1,IF(AND(AW71&gt;=参照データ!$C$74,AW71&lt;=参照データ!$C$72),2,IF(AND(AW71&gt;=参照データ!$C$77,AW71&lt;=参照データ!$C$75),3,IF(AND(AW71&gt;=参照データ!$C$80,AW71&lt;=参照データ!$C$78),4,IF(AND(AW71&gt;=参照データ!$C$83,AW71&lt;=参照データ!$C$81),5,IF(AW71&lt;=参照データ!$C$84,6,0))))))</f>
        <v>#VALUE!</v>
      </c>
      <c r="AY71" t="e">
        <f>IF(AV71="男子",VLOOKUP(AX71,参照データ!$C$95:$D$100,2),AX71)</f>
        <v>#VALUE!</v>
      </c>
      <c r="AZ71" s="241" t="str">
        <f t="shared" si="72"/>
        <v/>
      </c>
      <c r="BA71" s="219" t="str">
        <f>IF($J71="○",VLOOKUP($AZ71,参照データ!$B$24:$G$41,3,0),"")</f>
        <v/>
      </c>
      <c r="BB71" s="220" t="str">
        <f>IF($K71="○",VLOOKUP($AZ71,参照データ!$B$24:$G$41,4,0),"")</f>
        <v/>
      </c>
      <c r="BC71" s="220" t="str">
        <f>IF($L71="○",VLOOKUP($AZ71,参照データ!$B$24:$G$41,5,0),"")</f>
        <v/>
      </c>
      <c r="BD71" s="220" t="str">
        <f>IF($M71="○",VLOOKUP($AZ71,参照データ!$B$24:$G$41,6,0),"")</f>
        <v/>
      </c>
      <c r="BE71" s="220" t="str">
        <f>IF($N71="○",VLOOKUP($AZ71,参照データ!$B$24:$H$41,7,0),"")</f>
        <v/>
      </c>
      <c r="BF71" s="221" t="str">
        <f>IF($O71="○",VLOOKUP($AZ71,参照データ!$B$24:$I$41,8,0),"")</f>
        <v/>
      </c>
      <c r="BG71" s="344" t="str">
        <f t="shared" si="18"/>
        <v/>
      </c>
      <c r="BH71" s="242" t="str">
        <f>IF($Q71="入門",VLOOKUP($AZ71,参照データ!$B$46:$U$63,3,0),IF($Q71="初級",VLOOKUP($AZ71,参照データ!$B$46:$U$63,4,0),IF($Q71="中級",VLOOKUP($AZ71,参照データ!$B$46:$U$63,5,0),IF($Q71="上級",VLOOKUP($AZ71,参照データ!$B$46:$U$63,6,0),""))))</f>
        <v/>
      </c>
      <c r="BI71" s="242" t="str">
        <f>IF($R71="初級",VLOOKUP($AZ71,参照データ!$B$46:$U$63,7,0),IF($R71="中級",VLOOKUP($AZ71,参照データ!$B$46:$U$63,8,0),IF($R71="上級",VLOOKUP($AZ71,参照データ!$B$46:$U$63,9,0),"")))</f>
        <v/>
      </c>
      <c r="BJ71" s="242" t="str">
        <f>IF($S71="初級",VLOOKUP($AZ71,参照データ!$B$46:$U$63,10,0),IF($S71="上級",VLOOKUP($AZ71,参照データ!$B$46:$U$63,11,0),""))</f>
        <v/>
      </c>
      <c r="BK71" s="242" t="str">
        <f>IF($T71="初級",VLOOKUP($AZ71,参照データ!$B$46:$U$63,15,0),IF($T71="中級",VLOOKUP($AZ71,参照データ!$B$46:$U$63,16,0),IF($T71="上級",VLOOKUP($AZ71,参照データ!$B$46:$U$63,17,0),"")))</f>
        <v/>
      </c>
      <c r="BL71" s="242" t="str">
        <f>IF($U71="初級",VLOOKUP($AZ71,参照データ!$B$46:$U$63,12,0),IF($U71="中級",VLOOKUP($AZ71,参照データ!$B$46:$U$63,13,0),IF($U71="上級",VLOOKUP($AZ71,参照データ!$B$46:$U$63,14,0),"")))</f>
        <v/>
      </c>
      <c r="BM71" s="21" t="str">
        <f t="shared" si="19"/>
        <v/>
      </c>
      <c r="BN71" s="21" t="str">
        <f>IF($V71="初級",VLOOKUP($AZ71,参照データ!$B$46:$U$63,18,0),IF($V71="中級",VLOOKUP($AZ71,参照データ!$B$46:$U$63,19,0),IF($V71="上級",VLOOKUP($AZ71,参照データ!$B$46:$U$63,20,0),"")))</f>
        <v/>
      </c>
      <c r="BO71" s="604">
        <v>30</v>
      </c>
      <c r="BP71" s="255" t="s">
        <v>298</v>
      </c>
      <c r="BQ71" s="251" t="str">
        <f t="shared" si="73"/>
        <v/>
      </c>
      <c r="BR71" s="594" t="str">
        <f>IF(OR($BQ71="",$BQ72=""),"",IF($BQ71&gt;$BQ72,$BQ71,$BQ72))</f>
        <v/>
      </c>
      <c r="BT71" s="241" t="e">
        <f t="shared" si="86"/>
        <v>#VALUE!</v>
      </c>
      <c r="BU71" s="245" t="str">
        <f>IF($X71="○",VLOOKUP($BT71,参照データ!$D$89:$F$100,3,0),"")</f>
        <v/>
      </c>
      <c r="BV71" s="246" t="str">
        <f t="shared" si="74"/>
        <v/>
      </c>
      <c r="BW71" s="245" t="str">
        <f>IF($Z71="○",VLOOKUP($BT71,参照データ!$D$89:$J$100,7,0),"")</f>
        <v/>
      </c>
      <c r="BX71" s="246" t="str">
        <f t="shared" si="75"/>
        <v/>
      </c>
      <c r="BY71" s="245" t="str">
        <f>IF($AB71="○",VLOOKUP($BT71,参照データ!$D$89:$N$100,11,0),"")</f>
        <v/>
      </c>
      <c r="BZ71" s="246" t="str">
        <f t="shared" si="76"/>
        <v/>
      </c>
      <c r="CA71" s="245" t="str">
        <f>IF($AD71="○",VLOOKUP($BT71,参照データ!$D$89:$T$100,17,0),"")</f>
        <v/>
      </c>
      <c r="CB71" s="246" t="str">
        <f t="shared" si="21"/>
        <v/>
      </c>
      <c r="CC71" s="245" t="str">
        <f>IF($AF71="○",VLOOKUP($BT71,参照データ!$D$89:$T$100,16,0),"")</f>
        <v/>
      </c>
      <c r="CD71" s="246" t="str">
        <f t="shared" si="22"/>
        <v/>
      </c>
      <c r="CE71" s="25">
        <f t="shared" si="23"/>
        <v>0</v>
      </c>
      <c r="CF71" s="312" t="e">
        <f t="shared" si="77"/>
        <v>#N/A</v>
      </c>
      <c r="CG71" s="300" t="str">
        <f t="shared" si="24"/>
        <v/>
      </c>
      <c r="CH71" s="648">
        <v>30</v>
      </c>
      <c r="CI71" s="256" t="s">
        <v>153</v>
      </c>
      <c r="CJ71" s="257" t="e">
        <f t="shared" si="78"/>
        <v>#N/A</v>
      </c>
      <c r="CK71" s="257" t="e">
        <f>VLOOKUP(CJ71,参照データ!$D$89:$R$100,15,0)</f>
        <v>#N/A</v>
      </c>
      <c r="CL71" s="649" t="e">
        <f>IF(OR($CJ71="",$CJ72=""),"",IF($CJ71&gt;$CJ72,$CK71,$CK72))</f>
        <v>#N/A</v>
      </c>
      <c r="CM71" s="289" t="e">
        <f>INDEX(参照データ!$Q$89:$Q$100,MATCH($CL71,参照データ!$R$89:$R$100,0))</f>
        <v>#N/A</v>
      </c>
      <c r="CN71" s="290" t="str">
        <f>IF($AJ71="○",VLOOKUP($BT71,参照データ!$D$89:$V$100,19,0),"")</f>
        <v/>
      </c>
      <c r="CO71" s="246" t="str">
        <f t="shared" si="25"/>
        <v/>
      </c>
      <c r="CQ71" t="e">
        <f>IF(AND($AW71&gt;=参照データ!$C$132,$AW71&lt;=参照データ!$C$130),1,IF(AND($AW71&gt;=参照データ!$C$135,$AW71&lt;=参照データ!$C$133),2,IF(AND($AW71&gt;=参照データ!$C$138,$AW71&lt;=参照データ!$C$136),3,IF($AW71&lt;=参照データ!$C$139,4,0))))</f>
        <v>#VALUE!</v>
      </c>
      <c r="CR71" t="e">
        <f>IF($AV71="男子",VLOOKUP(CQ71,参照データ!$C$143:$D$150,2),CQ71)</f>
        <v>#VALUE!</v>
      </c>
      <c r="CS71" s="388" t="e">
        <f t="shared" si="26"/>
        <v>#VALUE!</v>
      </c>
      <c r="CT71" s="389" t="str">
        <f>IF($AM71="○",VLOOKUP($CS71,参照データ!$D$143:$F$150,3,0),"")</f>
        <v/>
      </c>
      <c r="CU71" s="390" t="str">
        <f t="shared" si="52"/>
        <v/>
      </c>
      <c r="CV71">
        <f t="shared" si="39"/>
        <v>0</v>
      </c>
      <c r="CW71" s="312" t="e">
        <f t="shared" si="79"/>
        <v>#N/A</v>
      </c>
      <c r="CX71" s="391" t="str">
        <f t="shared" si="28"/>
        <v/>
      </c>
      <c r="CY71" s="724">
        <v>30</v>
      </c>
      <c r="CZ71" s="398" t="s">
        <v>153</v>
      </c>
      <c r="DA71" s="399" t="e">
        <f t="shared" si="40"/>
        <v>#N/A</v>
      </c>
      <c r="DB71" s="399" t="e">
        <f>VLOOKUP(DA71,参照データ!$D$143:$J$150,7,0)</f>
        <v>#N/A</v>
      </c>
      <c r="DC71" s="725" t="e">
        <f t="shared" ref="DC71" si="110">IF(OR($DA71="",$DA72=""),"",IF($DA71&gt;$DA72,$DB71,$DB72))</f>
        <v>#N/A</v>
      </c>
      <c r="DD71" s="400" t="e">
        <f>INDEX(参照データ!$I$143:$I$150,MATCH($DC71,参照データ!$J$143:$J$150,0))</f>
        <v>#N/A</v>
      </c>
      <c r="DF71" s="254">
        <f>(COUNTIF($J71:$O71,"&lt;&gt;"))*参照データ!$D$3</f>
        <v>0</v>
      </c>
      <c r="DG71" s="297">
        <f t="shared" si="29"/>
        <v>0</v>
      </c>
      <c r="DH71" s="157" cm="1">
        <f t="array" ref="DH71">(SUM(COUNTIF($Q71:$U71,{"入門","初級"}))*3000)+(SUM(COUNTIF($Q71:$U71,{"中級","上級"})*3500))</f>
        <v>0</v>
      </c>
      <c r="DI71" s="157">
        <f>IFERROR(VLOOKUP(V71,参照データ!$G$3:$I$6,3,0),0)</f>
        <v>0</v>
      </c>
      <c r="DJ71" s="469">
        <f t="shared" si="30"/>
        <v>0</v>
      </c>
      <c r="DK71" s="157">
        <f t="shared" si="31"/>
        <v>0</v>
      </c>
      <c r="DL71" s="157">
        <f t="shared" si="32"/>
        <v>0</v>
      </c>
      <c r="DM71" s="157">
        <f>(COUNTIF($AM71,"○"))*参照データ!$H$13</f>
        <v>0</v>
      </c>
      <c r="DN71" s="157">
        <f>(IF($AO71&gt;0,参照データ!$I$14,0))</f>
        <v>0</v>
      </c>
      <c r="DO71" s="249">
        <f t="array" ref="DO71">SUM(IF(ISERROR($DF71:$DN71),0,($DF71:$DN71)))</f>
        <v>0</v>
      </c>
      <c r="DP71" s="157"/>
      <c r="DQ71" s="157">
        <f t="shared" si="33"/>
        <v>0</v>
      </c>
      <c r="DR71" s="157">
        <f t="shared" si="34"/>
        <v>0</v>
      </c>
      <c r="DS71" s="157">
        <f t="shared" si="35"/>
        <v>0</v>
      </c>
      <c r="DT71" s="157">
        <f t="shared" si="36"/>
        <v>0</v>
      </c>
      <c r="DU71" s="157">
        <f t="shared" si="37"/>
        <v>0</v>
      </c>
      <c r="DV71" t="str">
        <f t="shared" si="81"/>
        <v/>
      </c>
    </row>
    <row r="72" spans="1:126" ht="18.75" customHeight="1" thickBot="1" x14ac:dyDescent="0.25">
      <c r="A72" s="362">
        <v>60</v>
      </c>
      <c r="B72" s="203" t="str">
        <f>IF(D72="","",IF(D72="重複","",COUNTIF(B$13:$B71,"&gt;0")+1))</f>
        <v/>
      </c>
      <c r="C72" s="313"/>
      <c r="D72" s="314"/>
      <c r="E72" s="314"/>
      <c r="F72" s="315"/>
      <c r="G72" s="316"/>
      <c r="H72" s="518">
        <f t="shared" si="11"/>
        <v>0</v>
      </c>
      <c r="I72" s="519" t="str">
        <f t="shared" si="12"/>
        <v/>
      </c>
      <c r="J72" s="317"/>
      <c r="K72" s="317"/>
      <c r="L72" s="317"/>
      <c r="M72" s="318"/>
      <c r="N72" s="319"/>
      <c r="O72" s="320"/>
      <c r="P72" s="363"/>
      <c r="Q72" s="321"/>
      <c r="R72" s="322"/>
      <c r="S72" s="322"/>
      <c r="T72" s="323"/>
      <c r="U72" s="322"/>
      <c r="V72" s="324"/>
      <c r="W72" s="325"/>
      <c r="X72" s="326"/>
      <c r="Y72" s="364" t="str">
        <f>IF($X72="○",VLOOKUP($AY72,参照データ!$D$89:$E$100,2),"")</f>
        <v/>
      </c>
      <c r="Z72" s="327"/>
      <c r="AA72" s="364" t="str">
        <f>IF($Z72="○",VLOOKUP($AY72,参照データ!$D$89:$J$100,6),"")</f>
        <v/>
      </c>
      <c r="AB72" s="327"/>
      <c r="AC72" s="364" t="str">
        <f>IF($AB72="○",VLOOKUP($AY72,参照データ!$D$89:$N$100,10),"")</f>
        <v/>
      </c>
      <c r="AD72" s="327"/>
      <c r="AE72" s="364" t="str">
        <f>IF($AD72="○",VLOOKUP($AY72,参照データ!$D$89:$Q$100,14),"")</f>
        <v/>
      </c>
      <c r="AF72" s="327"/>
      <c r="AG72" s="364" t="str">
        <f>IF($AF72="○",VLOOKUP($AY72,参照データ!$D$89:$Q$100,14),"")</f>
        <v/>
      </c>
      <c r="AH72" s="328"/>
      <c r="AI72" s="371" t="str">
        <f t="shared" si="38"/>
        <v/>
      </c>
      <c r="AJ72" s="499"/>
      <c r="AK72" s="500" t="str">
        <f>IF($AJ72="○",VLOOKUP($AY72,参照データ!$D$89:$U$100,18),"")</f>
        <v/>
      </c>
      <c r="AL72" s="519" t="str">
        <f t="shared" si="13"/>
        <v/>
      </c>
      <c r="AM72" s="326"/>
      <c r="AN72" s="414" t="str">
        <f>IF($AM72="○",VLOOKUP($CR72,参照データ!$D$143:$E$150,2),"")</f>
        <v/>
      </c>
      <c r="AO72" s="417"/>
      <c r="AP72" s="367" t="str">
        <f t="shared" si="14"/>
        <v/>
      </c>
      <c r="AQ72" s="467"/>
      <c r="AR72" s="468"/>
      <c r="AU72" s="275" t="str">
        <f t="shared" si="82"/>
        <v/>
      </c>
      <c r="AV72" s="276" t="str">
        <f t="shared" si="83"/>
        <v/>
      </c>
      <c r="AW72" s="226" t="e">
        <f t="shared" si="17"/>
        <v>#VALUE!</v>
      </c>
      <c r="AX72" t="e">
        <f>IF(AND(AW72&gt;=参照データ!$C$71,AW72&lt;=参照データ!$C$69),1,IF(AND(AW72&gt;=参照データ!$C$74,AW72&lt;=参照データ!$C$72),2,IF(AND(AW72&gt;=参照データ!$C$77,AW72&lt;=参照データ!$C$75),3,IF(AND(AW72&gt;=参照データ!$C$80,AW72&lt;=参照データ!$C$78),4,IF(AND(AW72&gt;=参照データ!$C$83,AW72&lt;=参照データ!$C$81),5,IF(AW72&lt;=参照データ!$C$84,6,0))))))</f>
        <v>#VALUE!</v>
      </c>
      <c r="AY72" t="e">
        <f>IF(AV72="男子",VLOOKUP(AX72,参照データ!$C$95:$D$100,2),AX72)</f>
        <v>#VALUE!</v>
      </c>
      <c r="AZ72" s="241" t="str">
        <f t="shared" si="72"/>
        <v/>
      </c>
      <c r="BA72" s="279" t="str">
        <f>IF($J72="○",VLOOKUP($AZ72,参照データ!$B$24:$G$41,3,0),"")</f>
        <v/>
      </c>
      <c r="BB72" s="280" t="str">
        <f>IF($K72="○",VLOOKUP($AZ72,参照データ!$B$24:$G$41,4,0),"")</f>
        <v/>
      </c>
      <c r="BC72" s="280" t="str">
        <f>IF($L72="○",VLOOKUP($AZ72,参照データ!$B$24:$G$41,5,0),"")</f>
        <v/>
      </c>
      <c r="BD72" s="280" t="str">
        <f>IF($M72="○",VLOOKUP($AZ72,参照データ!$B$24:$G$41,6,0),"")</f>
        <v/>
      </c>
      <c r="BE72" s="280" t="str">
        <f>IF($N72="○",VLOOKUP($AZ72,参照データ!$B$24:$H$41,7,0),"")</f>
        <v/>
      </c>
      <c r="BF72" s="281" t="str">
        <f>IF($O72="○",VLOOKUP($AZ72,参照データ!$B$24:$I$41,8,0),"")</f>
        <v/>
      </c>
      <c r="BG72" s="344" t="str">
        <f t="shared" si="18"/>
        <v/>
      </c>
      <c r="BH72" s="242" t="str">
        <f>IF($Q72="入門",VLOOKUP($AZ72,参照データ!$B$46:$U$63,3,0),IF($Q72="初級",VLOOKUP($AZ72,参照データ!$B$46:$U$63,4,0),IF($Q72="中級",VLOOKUP($AZ72,参照データ!$B$46:$U$63,5,0),IF($Q72="上級",VLOOKUP($AZ72,参照データ!$B$46:$U$63,6,0),""))))</f>
        <v/>
      </c>
      <c r="BI72" s="242" t="str">
        <f>IF($R72="初級",VLOOKUP($AZ72,参照データ!$B$46:$U$63,7,0),IF($R72="中級",VLOOKUP($AZ72,参照データ!$B$46:$U$63,8,0),IF($R72="上級",VLOOKUP($AZ72,参照データ!$B$46:$U$63,9,0),"")))</f>
        <v/>
      </c>
      <c r="BJ72" s="242" t="str">
        <f>IF($S72="初級",VLOOKUP($AZ72,参照データ!$B$46:$U$63,10,0),IF($S72="上級",VLOOKUP($AZ72,参照データ!$B$46:$U$63,11,0),""))</f>
        <v/>
      </c>
      <c r="BK72" s="242" t="str">
        <f>IF($T72="初級",VLOOKUP($AZ72,参照データ!$B$46:$U$63,15,0),IF($T72="中級",VLOOKUP($AZ72,参照データ!$B$46:$U$63,16,0),IF($T72="上級",VLOOKUP($AZ72,参照データ!$B$46:$U$63,17,0),"")))</f>
        <v/>
      </c>
      <c r="BL72" s="242" t="str">
        <f>IF($U72="初級",VLOOKUP($AZ72,参照データ!$B$46:$U$63,12,0),IF($U72="中級",VLOOKUP($AZ72,参照データ!$B$46:$U$63,13,0),IF($U72="上級",VLOOKUP($AZ72,参照データ!$B$46:$U$63,14,0),"")))</f>
        <v/>
      </c>
      <c r="BM72" s="21" t="str">
        <f t="shared" si="19"/>
        <v/>
      </c>
      <c r="BN72" s="21" t="str">
        <f>IF($V72="初級",VLOOKUP($AZ72,参照データ!$B$46:$U$63,18,0),IF($V72="中級",VLOOKUP($AZ72,参照データ!$B$46:$U$63,19,0),IF($V72="上級",VLOOKUP($AZ72,参照データ!$B$46:$U$63,20,0),"")))</f>
        <v/>
      </c>
      <c r="BO72" s="609"/>
      <c r="BP72" s="258" t="s">
        <v>299</v>
      </c>
      <c r="BQ72" s="251" t="str">
        <f t="shared" si="73"/>
        <v/>
      </c>
      <c r="BR72" s="595"/>
      <c r="BT72" s="241" t="e">
        <f t="shared" si="86"/>
        <v>#VALUE!</v>
      </c>
      <c r="BU72" s="245" t="str">
        <f>IF($X72="○",VLOOKUP($BT72,参照データ!$D$89:$F$100,3,0),"")</f>
        <v/>
      </c>
      <c r="BV72" s="246" t="str">
        <f t="shared" si="74"/>
        <v/>
      </c>
      <c r="BW72" s="245" t="str">
        <f>IF($Z72="○",VLOOKUP($BT72,参照データ!$D$89:$J$100,7,0),"")</f>
        <v/>
      </c>
      <c r="BX72" s="246" t="str">
        <f t="shared" si="75"/>
        <v/>
      </c>
      <c r="BY72" s="245" t="str">
        <f>IF($AB72="○",VLOOKUP($BT72,参照データ!$D$89:$N$100,11,0),"")</f>
        <v/>
      </c>
      <c r="BZ72" s="246" t="str">
        <f t="shared" si="76"/>
        <v/>
      </c>
      <c r="CA72" s="245" t="str">
        <f>IF($AD72="○",VLOOKUP($BT72,参照データ!$D$89:$T$100,17,0),"")</f>
        <v/>
      </c>
      <c r="CB72" s="246" t="str">
        <f t="shared" si="21"/>
        <v/>
      </c>
      <c r="CC72" s="245" t="str">
        <f>IF($AF72="○",VLOOKUP($BT72,参照データ!$D$89:$T$100,16,0),"")</f>
        <v/>
      </c>
      <c r="CD72" s="246" t="str">
        <f t="shared" si="22"/>
        <v/>
      </c>
      <c r="CE72" s="25">
        <f t="shared" si="23"/>
        <v>0</v>
      </c>
      <c r="CF72" s="312" t="e">
        <f t="shared" si="77"/>
        <v>#N/A</v>
      </c>
      <c r="CG72" s="300" t="str">
        <f t="shared" si="24"/>
        <v/>
      </c>
      <c r="CH72" s="671"/>
      <c r="CI72" s="259" t="s">
        <v>154</v>
      </c>
      <c r="CJ72" s="253" t="e">
        <f t="shared" si="78"/>
        <v>#N/A</v>
      </c>
      <c r="CK72" s="253" t="e">
        <f>VLOOKUP(CJ72,参照データ!$D$89:$R$100,15,0)</f>
        <v>#N/A</v>
      </c>
      <c r="CL72" s="647"/>
      <c r="CM72" s="288" t="e">
        <f>CM71</f>
        <v>#N/A</v>
      </c>
      <c r="CN72" s="291" t="str">
        <f>IF($AJ72="○",VLOOKUP($BT72,参照データ!$D$89:$V$100,19,0),"")</f>
        <v/>
      </c>
      <c r="CO72" s="246" t="str">
        <f t="shared" si="25"/>
        <v/>
      </c>
      <c r="CQ72" t="e">
        <f>IF(AND($AW72&gt;=参照データ!$C$132,$AW72&lt;=参照データ!$C$130),1,IF(AND($AW72&gt;=参照データ!$C$135,$AW72&lt;=参照データ!$C$133),2,IF(AND($AW72&gt;=参照データ!$C$138,$AW72&lt;=参照データ!$C$136),3,IF($AW72&lt;=参照データ!$C$139,4,0))))</f>
        <v>#VALUE!</v>
      </c>
      <c r="CR72" t="e">
        <f>IF($AV72="男子",VLOOKUP(CQ72,参照データ!$C$143:$D$150,2),CQ72)</f>
        <v>#VALUE!</v>
      </c>
      <c r="CS72" s="388" t="e">
        <f t="shared" si="26"/>
        <v>#VALUE!</v>
      </c>
      <c r="CT72" s="389" t="str">
        <f>IF($AM72="○",VLOOKUP($CS72,参照データ!$D$143:$F$150,3,0),"")</f>
        <v/>
      </c>
      <c r="CU72" s="390" t="str">
        <f t="shared" si="52"/>
        <v/>
      </c>
      <c r="CV72">
        <f t="shared" si="39"/>
        <v>0</v>
      </c>
      <c r="CW72" s="312" t="e">
        <f t="shared" si="79"/>
        <v>#N/A</v>
      </c>
      <c r="CX72" s="391" t="str">
        <f t="shared" si="28"/>
        <v/>
      </c>
      <c r="CY72" s="726"/>
      <c r="CZ72" s="401" t="s">
        <v>154</v>
      </c>
      <c r="DA72" s="396" t="e">
        <f t="shared" si="40"/>
        <v>#N/A</v>
      </c>
      <c r="DB72" s="396" t="e">
        <f>VLOOKUP(DA72,参照データ!$D$143:$J$150,7,0)</f>
        <v>#N/A</v>
      </c>
      <c r="DC72" s="723"/>
      <c r="DD72" s="397" t="e">
        <f t="shared" ref="DD72" si="111">DD71</f>
        <v>#N/A</v>
      </c>
      <c r="DF72" s="254">
        <f>(COUNTIF($J72:$O72,"&lt;&gt;"))*参照データ!$D$3</f>
        <v>0</v>
      </c>
      <c r="DG72" s="297">
        <f t="shared" si="29"/>
        <v>0</v>
      </c>
      <c r="DH72" s="157" cm="1">
        <f t="array" ref="DH72">(SUM(COUNTIF($Q72:$U72,{"入門","初級"}))*3000)+(SUM(COUNTIF($Q72:$U72,{"中級","上級"})*3500))</f>
        <v>0</v>
      </c>
      <c r="DI72" s="157">
        <f>IFERROR(VLOOKUP(V72,参照データ!$G$3:$I$6,3,0),0)</f>
        <v>0</v>
      </c>
      <c r="DJ72" s="469">
        <f t="shared" si="30"/>
        <v>0</v>
      </c>
      <c r="DK72" s="157">
        <f t="shared" si="31"/>
        <v>0</v>
      </c>
      <c r="DL72" s="157">
        <f t="shared" si="32"/>
        <v>0</v>
      </c>
      <c r="DM72" s="157">
        <f>(COUNTIF($AM72,"○"))*参照データ!$H$13</f>
        <v>0</v>
      </c>
      <c r="DN72" s="157">
        <f>(IF($AO72&gt;0,参照データ!$I$14,0))</f>
        <v>0</v>
      </c>
      <c r="DO72" s="249">
        <f t="array" ref="DO72">SUM(IF(ISERROR($DF72:$DN72),0,($DF72:$DN72)))</f>
        <v>0</v>
      </c>
      <c r="DP72" s="157"/>
      <c r="DQ72" s="157">
        <f t="shared" si="33"/>
        <v>0</v>
      </c>
      <c r="DR72" s="157">
        <f t="shared" si="34"/>
        <v>0</v>
      </c>
      <c r="DS72" s="157">
        <f t="shared" si="35"/>
        <v>0</v>
      </c>
      <c r="DT72" s="157">
        <f t="shared" si="36"/>
        <v>0</v>
      </c>
      <c r="DU72" s="157">
        <f t="shared" si="37"/>
        <v>0</v>
      </c>
      <c r="DV72" t="str">
        <f t="shared" si="81"/>
        <v/>
      </c>
    </row>
    <row r="73" spans="1:126" ht="18.75" customHeight="1" x14ac:dyDescent="0.2">
      <c r="BA73" s="1" t="s">
        <v>496</v>
      </c>
      <c r="BB73" s="1" t="s">
        <v>196</v>
      </c>
      <c r="BC73" s="1" t="s">
        <v>199</v>
      </c>
      <c r="BD73" s="1" t="s">
        <v>200</v>
      </c>
      <c r="BE73" s="1" t="s">
        <v>223</v>
      </c>
      <c r="BF73" s="1" t="s">
        <v>510</v>
      </c>
      <c r="BG73" s="1" t="s">
        <v>646</v>
      </c>
      <c r="BH73" t="s">
        <v>503</v>
      </c>
      <c r="BU73" t="s">
        <v>728</v>
      </c>
      <c r="BV73" s="1">
        <f>COUNTIF($BU$13:$BU$72,$BU73)</f>
        <v>0</v>
      </c>
      <c r="CO73" s="1"/>
      <c r="CT73" t="s">
        <v>697</v>
      </c>
      <c r="CU73" s="1">
        <f>COUNTIF($CT$13:$CT$72,$CT73)</f>
        <v>0</v>
      </c>
      <c r="DC73" s="1"/>
      <c r="DF73" s="157">
        <f t="shared" ref="DF73:DN73" si="112">SUM(DF13:DF72)</f>
        <v>0</v>
      </c>
      <c r="DG73" s="157">
        <f t="shared" si="112"/>
        <v>0</v>
      </c>
      <c r="DH73" s="157">
        <f t="shared" si="112"/>
        <v>0</v>
      </c>
      <c r="DI73" s="157">
        <f t="shared" si="112"/>
        <v>0</v>
      </c>
      <c r="DJ73" s="157">
        <f t="shared" si="112"/>
        <v>0</v>
      </c>
      <c r="DK73" s="157">
        <f t="shared" si="112"/>
        <v>0</v>
      </c>
      <c r="DL73" s="157"/>
      <c r="DM73" s="157">
        <f t="shared" si="112"/>
        <v>0</v>
      </c>
      <c r="DN73" s="157">
        <f t="shared" si="112"/>
        <v>0</v>
      </c>
      <c r="DO73" s="157">
        <f>SUM(DO13:DO72)</f>
        <v>0</v>
      </c>
    </row>
    <row r="74" spans="1:126" ht="18.75" customHeight="1" x14ac:dyDescent="0.2">
      <c r="BA74" s="1">
        <f>COUNTIF($BA$13:$BA$72,$BA73)</f>
        <v>0</v>
      </c>
      <c r="BB74" s="1">
        <f>COUNTIF($BB$13:$BB$72,$BB73)</f>
        <v>0</v>
      </c>
      <c r="BC74" s="1">
        <f>COUNTIF($BC$13:$BC$72,$BC73)</f>
        <v>0</v>
      </c>
      <c r="BD74" s="1">
        <f>COUNTIF($BD$13:$BD$72,$BD73)</f>
        <v>0</v>
      </c>
      <c r="BE74" s="1">
        <f>COUNTIF($BE$13:$BE$72,$BE73)</f>
        <v>0</v>
      </c>
      <c r="BF74" s="1">
        <f>COUNTIF($BF$13:$BF$72,$BF73)</f>
        <v>0</v>
      </c>
      <c r="BG74" s="1">
        <f>COUNTIF($BG$13:$BG$72,$BG73)</f>
        <v>0</v>
      </c>
      <c r="BH74" s="1">
        <f>COUNTIF($BH$13:$BH$72,$BH73)</f>
        <v>0</v>
      </c>
      <c r="BI74" s="1"/>
      <c r="BJ74" s="1"/>
      <c r="BK74" s="1"/>
      <c r="BL74" s="1"/>
      <c r="BR74" s="1"/>
      <c r="BU74" t="s">
        <v>729</v>
      </c>
      <c r="BV74" s="1">
        <f t="shared" ref="BV74:BV76" si="113">COUNTIF($BU$13:$BU$72,$BU74)</f>
        <v>0</v>
      </c>
      <c r="BW74" t="s">
        <v>756</v>
      </c>
      <c r="BX74" s="1">
        <f>COUNTIF($BW$13:$BW$72,$BW74)</f>
        <v>0</v>
      </c>
      <c r="BY74" t="s">
        <v>764</v>
      </c>
      <c r="BZ74" s="1">
        <f>COUNTIF($BY$13:$BY$72,$BY74)</f>
        <v>0</v>
      </c>
      <c r="CA74" t="s">
        <v>807</v>
      </c>
      <c r="CB74" s="1">
        <f>COUNTIF($CA$13:$CA$72,$CA74)</f>
        <v>0</v>
      </c>
      <c r="CC74" t="s">
        <v>797</v>
      </c>
      <c r="CD74" s="1">
        <f>COUNTIF($CC$13:$CC$72,$CC74)</f>
        <v>0</v>
      </c>
      <c r="CK74" t="s">
        <v>787</v>
      </c>
      <c r="CL74" s="1">
        <f>COUNTIF($CL$13:$CL$72,$CK74)</f>
        <v>0</v>
      </c>
      <c r="CO74" s="1"/>
      <c r="CT74" t="s">
        <v>698</v>
      </c>
      <c r="CU74" s="1">
        <f t="shared" ref="CU74:CU78" si="114">COUNTIF($CT$13:$CT$72,$CT74)</f>
        <v>0</v>
      </c>
      <c r="DB74" t="s">
        <v>703</v>
      </c>
      <c r="DC74" s="1">
        <f>COUNTIF($DC$13:$DC$72,$DB74)</f>
        <v>0</v>
      </c>
      <c r="DF74" s="597">
        <f>SUM(DF73:DI73)</f>
        <v>0</v>
      </c>
      <c r="DG74" s="597"/>
      <c r="DH74" s="597"/>
      <c r="DI74" s="597"/>
      <c r="DJ74" s="596">
        <f>SUM(DJ73:DK73)</f>
        <v>0</v>
      </c>
      <c r="DK74" s="596"/>
      <c r="DL74" s="296"/>
      <c r="DM74" s="596">
        <f>SUM(DM73:DN73)</f>
        <v>0</v>
      </c>
      <c r="DN74" s="596"/>
    </row>
    <row r="75" spans="1:126" ht="18.75" customHeight="1" x14ac:dyDescent="0.2">
      <c r="AU75"/>
      <c r="BA75" s="1" t="s">
        <v>497</v>
      </c>
      <c r="BB75" s="1" t="s">
        <v>201</v>
      </c>
      <c r="BC75" s="1" t="s">
        <v>202</v>
      </c>
      <c r="BD75" s="1" t="s">
        <v>203</v>
      </c>
      <c r="BE75" s="1" t="s">
        <v>224</v>
      </c>
      <c r="BF75" s="1" t="s">
        <v>511</v>
      </c>
      <c r="BG75" s="1" t="s">
        <v>637</v>
      </c>
      <c r="BH75" t="s">
        <v>504</v>
      </c>
      <c r="BU75" t="s">
        <v>730</v>
      </c>
      <c r="BV75" s="1">
        <f t="shared" si="113"/>
        <v>0</v>
      </c>
      <c r="BW75" t="s">
        <v>758</v>
      </c>
      <c r="BX75" s="1">
        <f t="shared" ref="BX75:BX82" si="115">COUNTIF($BW$13:$BW$72,$BW75)</f>
        <v>0</v>
      </c>
      <c r="BY75" t="s">
        <v>766</v>
      </c>
      <c r="BZ75" s="1">
        <f t="shared" ref="BZ75:BZ81" si="116">COUNTIF($BY$13:$BY$72,$BY75)</f>
        <v>0</v>
      </c>
      <c r="CA75" t="s">
        <v>809</v>
      </c>
      <c r="CB75" s="1">
        <f>COUNTIF($CA$13:$CA$72,$CA75)</f>
        <v>0</v>
      </c>
      <c r="CC75" t="s">
        <v>799</v>
      </c>
      <c r="CD75" s="1">
        <f>COUNTIF($CC$13:$CC$72,$CC75)</f>
        <v>0</v>
      </c>
      <c r="CK75" t="s">
        <v>789</v>
      </c>
      <c r="CL75" s="1">
        <f>COUNTIF($CL$13:$CL$72,$CK75)</f>
        <v>0</v>
      </c>
      <c r="CN75" t="s">
        <v>622</v>
      </c>
      <c r="CO75" s="1">
        <f>COUNTIF($CN$13:$CN$72,$CN75)</f>
        <v>0</v>
      </c>
      <c r="CT75" t="s">
        <v>699</v>
      </c>
      <c r="CU75" s="1">
        <f t="shared" si="114"/>
        <v>0</v>
      </c>
      <c r="DB75" t="s">
        <v>705</v>
      </c>
      <c r="DC75" s="1">
        <f>COUNTIF($DC$13:$DC$72,$DB75)</f>
        <v>0</v>
      </c>
    </row>
    <row r="76" spans="1:126" ht="18.75" customHeight="1" x14ac:dyDescent="0.2">
      <c r="AU76" s="1"/>
      <c r="BA76" s="1">
        <f>COUNTIF($BA$13:$BA$72,$BA75)</f>
        <v>0</v>
      </c>
      <c r="BB76" s="1">
        <f>COUNTIF($BB$13:$BB$72,$BB75)</f>
        <v>0</v>
      </c>
      <c r="BC76" s="1">
        <f>COUNTIF($BC$13:$BC$72,$BC75)</f>
        <v>0</v>
      </c>
      <c r="BD76" s="1">
        <f>COUNTIF($BD$13:$BD$72,$BD75)</f>
        <v>0</v>
      </c>
      <c r="BE76" s="1">
        <f>COUNTIF($BE$13:$BE$72,$BE75)</f>
        <v>0</v>
      </c>
      <c r="BF76" s="1">
        <f>COUNTIF($BF$13:$BF$72,$BF75)</f>
        <v>0</v>
      </c>
      <c r="BG76" s="1">
        <f>COUNTIF($BG$13:$BG$72,$BG75)</f>
        <v>0</v>
      </c>
      <c r="BH76" s="1">
        <f>COUNTIF($BH$13:$BH$72,$BH75)</f>
        <v>0</v>
      </c>
      <c r="BI76" s="1"/>
      <c r="BJ76" s="1"/>
      <c r="BK76" s="1"/>
      <c r="BL76" s="1"/>
      <c r="BR76" s="1"/>
      <c r="BU76" t="s">
        <v>731</v>
      </c>
      <c r="BV76" s="1">
        <f t="shared" si="113"/>
        <v>0</v>
      </c>
      <c r="BW76" t="s">
        <v>760</v>
      </c>
      <c r="BX76" s="1">
        <f t="shared" si="115"/>
        <v>0</v>
      </c>
      <c r="BY76" t="s">
        <v>768</v>
      </c>
      <c r="BZ76" s="1">
        <f t="shared" si="116"/>
        <v>0</v>
      </c>
      <c r="CA76" t="s">
        <v>811</v>
      </c>
      <c r="CB76" s="1">
        <f>COUNTIF($CA$13:$CA$72,$CA76)</f>
        <v>0</v>
      </c>
      <c r="CC76" t="s">
        <v>801</v>
      </c>
      <c r="CD76" s="1">
        <f>COUNTIF($CC$13:$CC$72,$CC76)</f>
        <v>0</v>
      </c>
      <c r="CK76" t="s">
        <v>791</v>
      </c>
      <c r="CL76" s="1">
        <f>COUNTIF($CL$13:$CL$72,$CK76)</f>
        <v>0</v>
      </c>
      <c r="CO76" s="1"/>
      <c r="CT76" t="s">
        <v>700</v>
      </c>
      <c r="CU76" s="1">
        <f t="shared" si="114"/>
        <v>0</v>
      </c>
    </row>
    <row r="77" spans="1:126" ht="18.75" customHeight="1" x14ac:dyDescent="0.2">
      <c r="AT77" s="1"/>
      <c r="AU77" s="1"/>
      <c r="BA77" s="1" t="s">
        <v>498</v>
      </c>
      <c r="BB77" s="1" t="s">
        <v>197</v>
      </c>
      <c r="BC77" s="1" t="s">
        <v>204</v>
      </c>
      <c r="BD77" s="1" t="s">
        <v>205</v>
      </c>
      <c r="BE77" s="1" t="s">
        <v>225</v>
      </c>
      <c r="BF77" s="1" t="s">
        <v>512</v>
      </c>
      <c r="BH77" t="s">
        <v>505</v>
      </c>
      <c r="BU77" t="s">
        <v>732</v>
      </c>
      <c r="BV77" s="1">
        <f>COUNTIF($BU$13:$BU$72,$BU77)</f>
        <v>0</v>
      </c>
      <c r="BW77" t="s">
        <v>762</v>
      </c>
      <c r="BX77" s="1">
        <f t="shared" si="115"/>
        <v>0</v>
      </c>
      <c r="BY77" t="s">
        <v>770</v>
      </c>
      <c r="BZ77" s="1">
        <f t="shared" si="116"/>
        <v>0</v>
      </c>
      <c r="CA77" t="s">
        <v>813</v>
      </c>
      <c r="CB77" s="1">
        <f>COUNTIF($CA$13:$CA$72,$CA77)</f>
        <v>0</v>
      </c>
      <c r="CC77" t="s">
        <v>803</v>
      </c>
      <c r="CD77" s="1">
        <f>COUNTIF($CC$13:$CC$72,$CC77)</f>
        <v>0</v>
      </c>
      <c r="CK77" t="s">
        <v>793</v>
      </c>
      <c r="CL77" s="1">
        <f>COUNTIF($CL$13:$CL$72,$CK77)</f>
        <v>0</v>
      </c>
      <c r="CN77" t="s">
        <v>623</v>
      </c>
      <c r="CO77" s="1">
        <f>COUNTIF($CN$13:$CN$72,$CN77)</f>
        <v>0</v>
      </c>
      <c r="CT77" t="s">
        <v>701</v>
      </c>
      <c r="CU77" s="1">
        <f t="shared" si="114"/>
        <v>0</v>
      </c>
      <c r="DC77" s="1"/>
    </row>
    <row r="78" spans="1:126" ht="18.75" customHeight="1" x14ac:dyDescent="0.2">
      <c r="BA78" s="1">
        <f>COUNTIF($BA$13:$BA$72,$BA77)</f>
        <v>0</v>
      </c>
      <c r="BB78" s="1">
        <f>COUNTIF($BB$13:$BB$72,$BB77)</f>
        <v>0</v>
      </c>
      <c r="BC78" s="1">
        <f>COUNTIF($BC$13:$BC$72,$BC77)</f>
        <v>0</v>
      </c>
      <c r="BD78" s="1">
        <f>COUNTIF($BD$13:$BD$72,$BD77)</f>
        <v>0</v>
      </c>
      <c r="BE78" s="1">
        <f>COUNTIF($BE$13:$BE$72,$BE77)</f>
        <v>0</v>
      </c>
      <c r="BF78" s="1">
        <f>COUNTIF($BF$13:$BF$72,$BF77)</f>
        <v>0</v>
      </c>
      <c r="BH78" s="1">
        <f>COUNTIF($BH$13:$BH$72,$BH77)</f>
        <v>0</v>
      </c>
      <c r="BU78" t="s">
        <v>733</v>
      </c>
      <c r="BV78" s="1">
        <f t="shared" ref="BV78:BV82" si="117">COUNTIF($BU$13:$BU$72,$BU78)</f>
        <v>0</v>
      </c>
      <c r="BW78" t="s">
        <v>817</v>
      </c>
      <c r="BX78" s="1">
        <f t="shared" si="115"/>
        <v>0</v>
      </c>
      <c r="BY78" t="s">
        <v>772</v>
      </c>
      <c r="BZ78" s="1">
        <f t="shared" si="116"/>
        <v>0</v>
      </c>
      <c r="CA78" t="s">
        <v>815</v>
      </c>
      <c r="CB78" s="1">
        <f>COUNTIF($CA$13:$CA$72,$CA78)</f>
        <v>0</v>
      </c>
      <c r="CC78" t="s">
        <v>805</v>
      </c>
      <c r="CD78" s="1">
        <f>COUNTIF($CC$13:$CC$72,$CC78)</f>
        <v>0</v>
      </c>
      <c r="CK78" t="s">
        <v>795</v>
      </c>
      <c r="CL78" s="1">
        <f>COUNTIF($CL$13:$CL$72,$CK78)</f>
        <v>0</v>
      </c>
      <c r="CO78" s="1"/>
      <c r="CT78" t="s">
        <v>702</v>
      </c>
      <c r="CU78" s="1">
        <f t="shared" si="114"/>
        <v>0</v>
      </c>
      <c r="DC78" s="1"/>
    </row>
    <row r="79" spans="1:126" ht="18.75" customHeight="1" x14ac:dyDescent="0.2">
      <c r="BA79" s="1" t="s">
        <v>499</v>
      </c>
      <c r="BB79" s="1" t="s">
        <v>198</v>
      </c>
      <c r="BC79" s="1" t="s">
        <v>206</v>
      </c>
      <c r="BD79" s="1" t="s">
        <v>207</v>
      </c>
      <c r="BE79" s="1" t="s">
        <v>226</v>
      </c>
      <c r="BF79" s="1" t="s">
        <v>513</v>
      </c>
      <c r="BH79" t="s">
        <v>506</v>
      </c>
      <c r="BU79" t="s">
        <v>734</v>
      </c>
      <c r="BV79" s="1">
        <f t="shared" si="117"/>
        <v>0</v>
      </c>
      <c r="BW79" t="s">
        <v>750</v>
      </c>
      <c r="BX79" s="1">
        <f t="shared" si="115"/>
        <v>0</v>
      </c>
      <c r="BY79" t="s">
        <v>774</v>
      </c>
      <c r="BZ79" s="1">
        <f t="shared" si="116"/>
        <v>0</v>
      </c>
      <c r="CU79" s="1"/>
    </row>
    <row r="80" spans="1:126" ht="18.75" customHeight="1" x14ac:dyDescent="0.2">
      <c r="BA80" s="1">
        <f>COUNTIF($BA$13:$BA$72,$BA79)</f>
        <v>0</v>
      </c>
      <c r="BB80" s="1">
        <f>COUNTIF($BB$13:$BB$72,$BB79)</f>
        <v>0</v>
      </c>
      <c r="BC80" s="1">
        <f>COUNTIF($BC$13:$BC$72,$BC79)</f>
        <v>0</v>
      </c>
      <c r="BD80" s="1">
        <f>COUNTIF($BD$13:$BD$72,$BD79)</f>
        <v>0</v>
      </c>
      <c r="BE80" s="1">
        <f>COUNTIF($BE$13:$BE$72,$BE79)</f>
        <v>0</v>
      </c>
      <c r="BF80" s="1">
        <f>COUNTIF($BF$13:$BF$72,$BF79)</f>
        <v>0</v>
      </c>
      <c r="BH80" s="1">
        <f>COUNTIF($BH$13:$BH$72,$BH79)</f>
        <v>0</v>
      </c>
      <c r="BU80" t="s">
        <v>735</v>
      </c>
      <c r="BV80" s="1">
        <f>COUNTIF($BU$13:$BU$72,$BU80)</f>
        <v>0</v>
      </c>
      <c r="BW80" t="s">
        <v>748</v>
      </c>
      <c r="BX80" s="1">
        <f t="shared" si="115"/>
        <v>0</v>
      </c>
      <c r="BY80" t="s">
        <v>776</v>
      </c>
      <c r="BZ80" s="1">
        <f t="shared" si="116"/>
        <v>0</v>
      </c>
      <c r="CU80" s="1"/>
    </row>
    <row r="81" spans="53:99" ht="18.75" customHeight="1" x14ac:dyDescent="0.2">
      <c r="BA81" s="1" t="s">
        <v>500</v>
      </c>
      <c r="BB81" s="1" t="s">
        <v>208</v>
      </c>
      <c r="BC81" s="1" t="s">
        <v>209</v>
      </c>
      <c r="BD81" s="1" t="s">
        <v>210</v>
      </c>
      <c r="BE81" s="1" t="s">
        <v>227</v>
      </c>
      <c r="BF81" s="1" t="s">
        <v>514</v>
      </c>
      <c r="BH81" t="s">
        <v>507</v>
      </c>
      <c r="BU81" t="s">
        <v>736</v>
      </c>
      <c r="BV81" s="1">
        <f t="shared" si="117"/>
        <v>0</v>
      </c>
      <c r="BW81" t="s">
        <v>752</v>
      </c>
      <c r="BX81" s="1">
        <f t="shared" si="115"/>
        <v>0</v>
      </c>
      <c r="BY81" t="s">
        <v>778</v>
      </c>
      <c r="BZ81" s="1">
        <f t="shared" si="116"/>
        <v>0</v>
      </c>
      <c r="CU81" s="1"/>
    </row>
    <row r="82" spans="53:99" ht="18.75" customHeight="1" x14ac:dyDescent="0.2">
      <c r="BA82" s="1">
        <f>COUNTIF($BA$13:$BA$72,$BA81)</f>
        <v>0</v>
      </c>
      <c r="BB82" s="1">
        <f>COUNTIF($BB$13:$BB$72,$BB81)</f>
        <v>0</v>
      </c>
      <c r="BC82" s="1">
        <f>COUNTIF($BC$13:$BC$72,$BC81)</f>
        <v>0</v>
      </c>
      <c r="BD82" s="1">
        <f>COUNTIF($BD$13:$BD$72,$BD81)</f>
        <v>0</v>
      </c>
      <c r="BE82" s="1">
        <f>COUNTIF($BE$13:$BE$72,$BE81)</f>
        <v>0</v>
      </c>
      <c r="BF82" s="1">
        <f>COUNTIF($BF$13:$BF$72,$BF81)</f>
        <v>0</v>
      </c>
      <c r="BH82" s="1">
        <f>COUNTIF($BH$13:$BH$72,$BH81)</f>
        <v>0</v>
      </c>
      <c r="BU82" t="s">
        <v>737</v>
      </c>
      <c r="BV82" s="1">
        <f t="shared" si="117"/>
        <v>0</v>
      </c>
      <c r="BW82" t="s">
        <v>754</v>
      </c>
      <c r="BX82" s="1">
        <f t="shared" si="115"/>
        <v>0</v>
      </c>
      <c r="BY82" t="s">
        <v>780</v>
      </c>
      <c r="BZ82" s="1">
        <f>COUNTIF($BY$13:$BY$72,$BY82)</f>
        <v>0</v>
      </c>
      <c r="CU82" s="1"/>
    </row>
    <row r="83" spans="53:99" ht="18.75" customHeight="1" x14ac:dyDescent="0.2">
      <c r="BA83" s="1" t="s">
        <v>501</v>
      </c>
      <c r="BB83" s="1" t="s">
        <v>211</v>
      </c>
      <c r="BC83" s="1" t="s">
        <v>212</v>
      </c>
      <c r="BD83" s="1" t="s">
        <v>213</v>
      </c>
      <c r="BE83" s="1" t="s">
        <v>228</v>
      </c>
      <c r="BF83" s="1" t="s">
        <v>515</v>
      </c>
      <c r="BH83" t="s">
        <v>419</v>
      </c>
    </row>
    <row r="84" spans="53:99" ht="18.75" customHeight="1" x14ac:dyDescent="0.2">
      <c r="BA84" s="1">
        <f>COUNTIF($BA$13:$BA$72,$BA83)</f>
        <v>0</v>
      </c>
      <c r="BB84" s="1">
        <f>COUNTIF($BB$13:$BB$72,$BB83)</f>
        <v>0</v>
      </c>
      <c r="BC84" s="1">
        <f>COUNTIF($BC$13:$BC$72,$BC83)</f>
        <v>0</v>
      </c>
      <c r="BD84" s="1">
        <f>COUNTIF($BD$13:$BD$72,$BD83)</f>
        <v>0</v>
      </c>
      <c r="BE84" s="1">
        <f>COUNTIF($BE$13:$BE$72,$BE83)</f>
        <v>0</v>
      </c>
      <c r="BF84" s="1">
        <f>COUNTIF($BF$13:$BF$72,$BF83)</f>
        <v>0</v>
      </c>
      <c r="BH84" s="1">
        <f>COUNTIF($BH$13:$BH$72,$BH83)</f>
        <v>0</v>
      </c>
      <c r="BT84" s="262"/>
      <c r="BV84" s="1"/>
      <c r="CS84" s="262"/>
      <c r="CU84" s="1"/>
    </row>
    <row r="85" spans="53:99" ht="18.75" customHeight="1" x14ac:dyDescent="0.2">
      <c r="BH85" t="s">
        <v>420</v>
      </c>
      <c r="BT85" s="262"/>
      <c r="CS85" s="262"/>
    </row>
    <row r="86" spans="53:99" ht="18.75" customHeight="1" x14ac:dyDescent="0.2">
      <c r="BH86" s="1">
        <f>COUNTIF($BH$13:$BH$72,$BH85)</f>
        <v>0</v>
      </c>
      <c r="BT86" s="262"/>
      <c r="CS86" s="262"/>
    </row>
    <row r="87" spans="53:99" ht="18.75" customHeight="1" x14ac:dyDescent="0.2">
      <c r="BH87" t="s">
        <v>421</v>
      </c>
      <c r="BI87" t="s">
        <v>585</v>
      </c>
      <c r="BJ87" t="s">
        <v>530</v>
      </c>
      <c r="BK87" t="s">
        <v>535</v>
      </c>
      <c r="BL87" t="s">
        <v>532</v>
      </c>
      <c r="BR87" t="s">
        <v>591</v>
      </c>
      <c r="BT87" s="262"/>
      <c r="CS87" s="262"/>
    </row>
    <row r="88" spans="53:99" ht="18.75" customHeight="1" x14ac:dyDescent="0.2">
      <c r="BH88" s="1">
        <f>COUNTIF($BH$13:$BH$72,$BH87)</f>
        <v>0</v>
      </c>
      <c r="BI88" s="1">
        <f>COUNTIF($BI$13:$BI$72,$BI87)</f>
        <v>0</v>
      </c>
      <c r="BJ88" s="1">
        <f>COUNTIF($BJ$13:$BJ$72,$BJ87)</f>
        <v>0</v>
      </c>
      <c r="BK88" s="1">
        <f>COUNTIF($BK$13:$BK$72,$BK87)</f>
        <v>0</v>
      </c>
      <c r="BL88" s="1">
        <f>COUNTIF($BL$13:$BL$72,$BL87)</f>
        <v>0</v>
      </c>
      <c r="BR88" s="1">
        <f>COUNTIF($BR$13:$BR$72,$BR87)</f>
        <v>0</v>
      </c>
      <c r="BT88" s="262"/>
      <c r="CS88" s="262"/>
    </row>
    <row r="89" spans="53:99" ht="18.75" customHeight="1" x14ac:dyDescent="0.2">
      <c r="BH89" t="s">
        <v>422</v>
      </c>
      <c r="BI89" t="s">
        <v>438</v>
      </c>
      <c r="BJ89" t="s">
        <v>450</v>
      </c>
      <c r="BK89" t="s">
        <v>482</v>
      </c>
      <c r="BL89" t="s">
        <v>470</v>
      </c>
      <c r="BR89" t="s">
        <v>458</v>
      </c>
      <c r="BT89" s="262"/>
      <c r="CS89" s="262"/>
    </row>
    <row r="90" spans="53:99" ht="18.75" customHeight="1" x14ac:dyDescent="0.2">
      <c r="BH90" s="1">
        <f>COUNTIF($BH$13:$BH$72,$BH89)</f>
        <v>0</v>
      </c>
      <c r="BI90" s="1">
        <f>COUNTIF($BI$13:$BI$72,$BI89)</f>
        <v>0</v>
      </c>
      <c r="BJ90" s="1">
        <f>COUNTIF($BJ$13:$BJ$72,$BJ89)</f>
        <v>0</v>
      </c>
      <c r="BK90" s="1">
        <f>COUNTIF($BK$13:$BK$72,$BK89)</f>
        <v>0</v>
      </c>
      <c r="BL90" s="1">
        <f>COUNTIF($BL$13:$BL$72,$BL89)</f>
        <v>0</v>
      </c>
      <c r="BR90" s="1">
        <f>COUNTIF($BR$13:$BR$72,$BR89)</f>
        <v>0</v>
      </c>
      <c r="BT90" s="262"/>
      <c r="CS90" s="262"/>
    </row>
    <row r="91" spans="53:99" ht="18.75" customHeight="1" x14ac:dyDescent="0.2">
      <c r="BH91" t="s">
        <v>423</v>
      </c>
      <c r="BI91" t="s">
        <v>441</v>
      </c>
      <c r="BJ91" t="s">
        <v>452</v>
      </c>
      <c r="BK91" t="s">
        <v>485</v>
      </c>
      <c r="BL91" t="s">
        <v>473</v>
      </c>
      <c r="BR91" t="s">
        <v>461</v>
      </c>
      <c r="BT91" s="262"/>
      <c r="CS91" s="262"/>
    </row>
    <row r="92" spans="53:99" ht="18.75" customHeight="1" x14ac:dyDescent="0.2">
      <c r="BH92" s="1">
        <f>COUNTIF($BH$13:$BH$72,$BH91)</f>
        <v>0</v>
      </c>
      <c r="BI92" s="1">
        <f>COUNTIF($BI$13:$BI$72,$BI91)</f>
        <v>0</v>
      </c>
      <c r="BJ92" s="1">
        <f>COUNTIF($BJ$13:$BJ$72,$BJ91)</f>
        <v>0</v>
      </c>
      <c r="BK92" s="1">
        <f>COUNTIF($BK$13:$BK$72,$BK91)</f>
        <v>0</v>
      </c>
      <c r="BL92" s="1">
        <f>COUNTIF($BL$13:$BL$72,$BL91)</f>
        <v>0</v>
      </c>
      <c r="BR92" s="1">
        <f>COUNTIF($BR$13:$BR$72,$BR91)</f>
        <v>0</v>
      </c>
      <c r="BT92" s="262"/>
      <c r="CS92" s="262"/>
    </row>
    <row r="93" spans="53:99" ht="18.75" customHeight="1" x14ac:dyDescent="0.2">
      <c r="BH93" t="s">
        <v>424</v>
      </c>
      <c r="BI93" t="s">
        <v>444</v>
      </c>
      <c r="BJ93" t="s">
        <v>454</v>
      </c>
      <c r="BK93" t="s">
        <v>488</v>
      </c>
      <c r="BL93" t="s">
        <v>476</v>
      </c>
      <c r="BR93" t="s">
        <v>464</v>
      </c>
    </row>
    <row r="94" spans="53:99" ht="18.75" customHeight="1" x14ac:dyDescent="0.2">
      <c r="BH94" s="1">
        <f>COUNTIF($BH$13:$BH$72,$BH93)</f>
        <v>0</v>
      </c>
      <c r="BI94" s="1">
        <f>COUNTIF($BI$13:$BI$72,$BI93)</f>
        <v>0</v>
      </c>
      <c r="BJ94" s="1">
        <f>COUNTIF($BJ$13:$BJ$72,$BJ93)</f>
        <v>0</v>
      </c>
      <c r="BK94" s="1">
        <f>COUNTIF($BK$13:$BK$72,$BK93)</f>
        <v>0</v>
      </c>
      <c r="BL94" s="1">
        <f>COUNTIF($BL$13:$BL$72,$BL93)</f>
        <v>0</v>
      </c>
      <c r="BR94" s="1">
        <f>COUNTIF($BR$13:$BR$72,$BR93)</f>
        <v>0</v>
      </c>
    </row>
    <row r="95" spans="53:99" ht="18.75" customHeight="1" x14ac:dyDescent="0.2">
      <c r="BH95" t="s">
        <v>425</v>
      </c>
      <c r="BI95" t="s">
        <v>447</v>
      </c>
      <c r="BJ95" t="s">
        <v>456</v>
      </c>
      <c r="BK95" t="s">
        <v>491</v>
      </c>
      <c r="BL95" t="s">
        <v>479</v>
      </c>
      <c r="BR95" t="s">
        <v>467</v>
      </c>
    </row>
    <row r="96" spans="53:99" ht="18.75" customHeight="1" x14ac:dyDescent="0.2">
      <c r="BH96" s="1">
        <f>COUNTIF($BH$13:$BH$72,$BH95)</f>
        <v>0</v>
      </c>
      <c r="BI96" s="1">
        <f>COUNTIF($BI$13:$BI$72,$BI95)</f>
        <v>0</v>
      </c>
      <c r="BJ96" s="1">
        <f>COUNTIF($BJ$13:$BJ$72,$BJ95)</f>
        <v>0</v>
      </c>
      <c r="BK96" s="1">
        <f>COUNTIF($BK$13:$BK$72,$BK95)</f>
        <v>0</v>
      </c>
      <c r="BL96" s="1">
        <f>COUNTIF($BL$13:$BL$72,$BL95)</f>
        <v>0</v>
      </c>
      <c r="BR96" s="1">
        <f>COUNTIF($BR$13:$BR$72,$BR95)</f>
        <v>0</v>
      </c>
    </row>
    <row r="97" spans="60:70" ht="18.75" customHeight="1" x14ac:dyDescent="0.2">
      <c r="BH97" t="s">
        <v>426</v>
      </c>
    </row>
    <row r="98" spans="60:70" ht="18.75" customHeight="1" x14ac:dyDescent="0.2">
      <c r="BH98" s="1">
        <f>COUNTIF($BH$13:$BH$72,$BH97)</f>
        <v>0</v>
      </c>
    </row>
    <row r="99" spans="60:70" ht="18.75" customHeight="1" x14ac:dyDescent="0.2">
      <c r="BH99" t="s">
        <v>427</v>
      </c>
      <c r="BI99" t="s">
        <v>528</v>
      </c>
      <c r="BK99" t="s">
        <v>536</v>
      </c>
      <c r="BL99" t="s">
        <v>533</v>
      </c>
      <c r="BR99" t="s">
        <v>592</v>
      </c>
    </row>
    <row r="100" spans="60:70" ht="18.75" customHeight="1" x14ac:dyDescent="0.2">
      <c r="BH100" s="1">
        <f>COUNTIF($BH$13:$BH$72,$BH99)</f>
        <v>0</v>
      </c>
      <c r="BI100" s="1">
        <f>COUNTIF($BI$13:$BI$72,$BI99)</f>
        <v>0</v>
      </c>
      <c r="BK100" s="1">
        <f>COUNTIF($BK$13:$BK$72,$BK99)</f>
        <v>0</v>
      </c>
      <c r="BL100" s="1">
        <f>COUNTIF($BL$13:$BL$72,$BL99)</f>
        <v>0</v>
      </c>
      <c r="BR100" s="1">
        <f>COUNTIF($BR$13:$BR$72,$BR99)</f>
        <v>0</v>
      </c>
    </row>
    <row r="101" spans="60:70" ht="18.75" customHeight="1" x14ac:dyDescent="0.2">
      <c r="BH101" t="s">
        <v>428</v>
      </c>
      <c r="BI101" t="s">
        <v>439</v>
      </c>
      <c r="BK101" t="s">
        <v>483</v>
      </c>
      <c r="BL101" t="s">
        <v>471</v>
      </c>
      <c r="BR101" t="s">
        <v>459</v>
      </c>
    </row>
    <row r="102" spans="60:70" ht="18.75" customHeight="1" x14ac:dyDescent="0.2">
      <c r="BH102" s="1">
        <f>COUNTIF($BH$13:$BH$72,$BH101)</f>
        <v>0</v>
      </c>
      <c r="BI102" s="1">
        <f>COUNTIF($BI$13:$BI$72,$BI101)</f>
        <v>0</v>
      </c>
      <c r="BK102" s="1">
        <f>COUNTIF($BK$13:$BK$72,$BK101)</f>
        <v>0</v>
      </c>
      <c r="BL102" s="1">
        <f>COUNTIF($BL$13:$BL$72,$BL101)</f>
        <v>0</v>
      </c>
      <c r="BR102" s="1">
        <f>COUNTIF($BR$13:$BR$72,$BR101)</f>
        <v>0</v>
      </c>
    </row>
    <row r="103" spans="60:70" ht="18.75" customHeight="1" x14ac:dyDescent="0.2">
      <c r="BH103" t="s">
        <v>429</v>
      </c>
      <c r="BI103" t="s">
        <v>442</v>
      </c>
      <c r="BK103" t="s">
        <v>486</v>
      </c>
      <c r="BL103" t="s">
        <v>474</v>
      </c>
      <c r="BR103" t="s">
        <v>462</v>
      </c>
    </row>
    <row r="104" spans="60:70" ht="18.75" customHeight="1" x14ac:dyDescent="0.2">
      <c r="BH104" s="1">
        <f>COUNTIF($BH$13:$BH$72,$BH103)</f>
        <v>0</v>
      </c>
      <c r="BI104" s="1">
        <f>COUNTIF($BI$13:$BI$72,$BI103)</f>
        <v>0</v>
      </c>
      <c r="BK104" s="1">
        <f>COUNTIF($BK$13:$BK$72,$BK103)</f>
        <v>0</v>
      </c>
      <c r="BL104" s="1">
        <f>COUNTIF($BL$13:$BL$72,$BL103)</f>
        <v>0</v>
      </c>
      <c r="BR104" s="1">
        <f>COUNTIF($BR$13:$BR$72,$BR103)</f>
        <v>0</v>
      </c>
    </row>
    <row r="105" spans="60:70" ht="18.75" customHeight="1" x14ac:dyDescent="0.2">
      <c r="BH105" t="s">
        <v>430</v>
      </c>
      <c r="BI105" t="s">
        <v>445</v>
      </c>
      <c r="BK105" t="s">
        <v>489</v>
      </c>
      <c r="BL105" t="s">
        <v>477</v>
      </c>
      <c r="BR105" t="s">
        <v>465</v>
      </c>
    </row>
    <row r="106" spans="60:70" ht="18.75" customHeight="1" x14ac:dyDescent="0.2">
      <c r="BH106" s="1">
        <f>COUNTIF($BH$13:$BH$72,$BH105)</f>
        <v>0</v>
      </c>
      <c r="BI106" s="1">
        <f>COUNTIF($BI$13:$BI$72,$BI105)</f>
        <v>0</v>
      </c>
      <c r="BK106" s="1">
        <f>COUNTIF($BK$13:$BK$72,$BK105)</f>
        <v>0</v>
      </c>
      <c r="BL106" s="1">
        <f>COUNTIF($BL$13:$BL$72,$BL105)</f>
        <v>0</v>
      </c>
      <c r="BR106" s="1">
        <f>COUNTIF($BR$13:$BR$72,$BR105)</f>
        <v>0</v>
      </c>
    </row>
    <row r="107" spans="60:70" ht="18.75" customHeight="1" x14ac:dyDescent="0.2">
      <c r="BH107" t="s">
        <v>431</v>
      </c>
      <c r="BI107" t="s">
        <v>448</v>
      </c>
      <c r="BK107" t="s">
        <v>492</v>
      </c>
      <c r="BL107" t="s">
        <v>480</v>
      </c>
      <c r="BR107" t="s">
        <v>468</v>
      </c>
    </row>
    <row r="108" spans="60:70" ht="18.75" customHeight="1" x14ac:dyDescent="0.2">
      <c r="BH108" s="1">
        <f>COUNTIF($BH$13:$BH$72,$BH107)</f>
        <v>0</v>
      </c>
      <c r="BI108" s="1">
        <f>COUNTIF($BI$13:$BI$72,$BI107)</f>
        <v>0</v>
      </c>
      <c r="BK108" s="1">
        <f>COUNTIF($BK$13:$BK$72,$BK107)</f>
        <v>0</v>
      </c>
      <c r="BL108" s="1">
        <f>COUNTIF($BL$13:$BL$72,$BL107)</f>
        <v>0</v>
      </c>
      <c r="BR108" s="1">
        <f>COUNTIF($BR$13:$BR$72,$BR107)</f>
        <v>0</v>
      </c>
    </row>
    <row r="109" spans="60:70" ht="18.75" customHeight="1" x14ac:dyDescent="0.2">
      <c r="BH109" t="s">
        <v>432</v>
      </c>
    </row>
    <row r="110" spans="60:70" ht="18.75" customHeight="1" x14ac:dyDescent="0.2">
      <c r="BH110" s="1">
        <f>COUNTIF($BH$13:$BH$72,$BH109)</f>
        <v>0</v>
      </c>
    </row>
    <row r="111" spans="60:70" ht="18.75" customHeight="1" x14ac:dyDescent="0.2">
      <c r="BH111" t="s">
        <v>433</v>
      </c>
      <c r="BI111" t="s">
        <v>529</v>
      </c>
      <c r="BJ111" t="s">
        <v>531</v>
      </c>
      <c r="BK111" t="s">
        <v>537</v>
      </c>
      <c r="BL111" t="s">
        <v>534</v>
      </c>
      <c r="BR111" t="s">
        <v>593</v>
      </c>
    </row>
    <row r="112" spans="60:70" ht="18.75" customHeight="1" x14ac:dyDescent="0.2">
      <c r="BH112" s="1">
        <f>COUNTIF($BH$13:$BH$72,$BH111)</f>
        <v>0</v>
      </c>
      <c r="BI112" s="1">
        <f>COUNTIF($BI$13:$BI$72,$BI111)</f>
        <v>0</v>
      </c>
      <c r="BJ112" s="1">
        <f>COUNTIF($BJ$13:$BJ$72,$BJ111)</f>
        <v>0</v>
      </c>
      <c r="BK112" s="1">
        <f>COUNTIF($BK$13:$BK$72,$BK111)</f>
        <v>0</v>
      </c>
      <c r="BL112" s="1">
        <f>COUNTIF($BL$13:$BL$72,$BL111)</f>
        <v>0</v>
      </c>
      <c r="BR112" s="1">
        <f>COUNTIF($BR$13:$BR$72,$BR111)</f>
        <v>0</v>
      </c>
    </row>
    <row r="113" spans="60:70" ht="18.75" customHeight="1" x14ac:dyDescent="0.2">
      <c r="BH113" t="s">
        <v>434</v>
      </c>
      <c r="BI113" t="s">
        <v>440</v>
      </c>
      <c r="BJ113" t="s">
        <v>451</v>
      </c>
      <c r="BK113" t="s">
        <v>484</v>
      </c>
      <c r="BL113" t="s">
        <v>472</v>
      </c>
      <c r="BR113" t="s">
        <v>460</v>
      </c>
    </row>
    <row r="114" spans="60:70" ht="18.75" customHeight="1" x14ac:dyDescent="0.2">
      <c r="BH114" s="1">
        <f>COUNTIF($BH$13:$BH$72,$BH113)</f>
        <v>0</v>
      </c>
      <c r="BI114" s="1">
        <f>COUNTIF($BI$13:$BI$72,$BI113)</f>
        <v>0</v>
      </c>
      <c r="BJ114" s="1">
        <f>COUNTIF($BJ$13:$BJ$72,$BJ113)</f>
        <v>0</v>
      </c>
      <c r="BK114" s="1">
        <f>COUNTIF($BK$13:$BK$72,$BK113)</f>
        <v>0</v>
      </c>
      <c r="BL114" s="1">
        <f>COUNTIF($BL$13:$BL$72,$BL113)</f>
        <v>0</v>
      </c>
      <c r="BR114" s="1">
        <f>COUNTIF($BR$13:$BR$72,$BR113)</f>
        <v>0</v>
      </c>
    </row>
    <row r="115" spans="60:70" ht="18.75" customHeight="1" x14ac:dyDescent="0.2">
      <c r="BH115" t="s">
        <v>435</v>
      </c>
      <c r="BI115" t="s">
        <v>443</v>
      </c>
      <c r="BJ115" t="s">
        <v>453</v>
      </c>
      <c r="BK115" t="s">
        <v>487</v>
      </c>
      <c r="BL115" t="s">
        <v>475</v>
      </c>
      <c r="BR115" t="s">
        <v>463</v>
      </c>
    </row>
    <row r="116" spans="60:70" ht="18.75" customHeight="1" x14ac:dyDescent="0.2">
      <c r="BH116" s="1">
        <f>COUNTIF($BH$13:$BH$72,$BH115)</f>
        <v>0</v>
      </c>
      <c r="BI116" s="1">
        <f>COUNTIF($BI$13:$BI$72,$BI115)</f>
        <v>0</v>
      </c>
      <c r="BJ116" s="1">
        <f>COUNTIF($BJ$13:$BJ$72,$BJ115)</f>
        <v>0</v>
      </c>
      <c r="BK116" s="1">
        <f>COUNTIF($BK$13:$BK$72,$BK115)</f>
        <v>0</v>
      </c>
      <c r="BL116" s="1">
        <f>COUNTIF($BL$13:$BL$72,$BL115)</f>
        <v>0</v>
      </c>
      <c r="BR116" s="1">
        <f>COUNTIF($BR$13:$BR$72,$BR115)</f>
        <v>0</v>
      </c>
    </row>
    <row r="117" spans="60:70" ht="18.75" customHeight="1" x14ac:dyDescent="0.2">
      <c r="BH117" t="s">
        <v>436</v>
      </c>
      <c r="BI117" t="s">
        <v>446</v>
      </c>
      <c r="BJ117" t="s">
        <v>455</v>
      </c>
      <c r="BK117" t="s">
        <v>490</v>
      </c>
      <c r="BL117" t="s">
        <v>478</v>
      </c>
      <c r="BR117" t="s">
        <v>466</v>
      </c>
    </row>
    <row r="118" spans="60:70" ht="18.75" customHeight="1" x14ac:dyDescent="0.2">
      <c r="BH118" s="1">
        <f>COUNTIF($BH$13:$BH$72,$BH117)</f>
        <v>0</v>
      </c>
      <c r="BI118" s="1">
        <f>COUNTIF($BI$13:$BI$72,$BI117)</f>
        <v>0</v>
      </c>
      <c r="BJ118" s="1">
        <f>COUNTIF($BJ$13:$BJ$72,$BJ117)</f>
        <v>0</v>
      </c>
      <c r="BK118" s="1">
        <f>COUNTIF($BK$13:$BK$72,$BK117)</f>
        <v>0</v>
      </c>
      <c r="BL118" s="1">
        <f>COUNTIF($BL$13:$BL$72,$BL117)</f>
        <v>0</v>
      </c>
      <c r="BR118" s="1">
        <f>COUNTIF($BR$13:$BR$72,$BR117)</f>
        <v>0</v>
      </c>
    </row>
    <row r="119" spans="60:70" ht="18.75" customHeight="1" x14ac:dyDescent="0.2">
      <c r="BH119" t="s">
        <v>437</v>
      </c>
      <c r="BI119" t="s">
        <v>449</v>
      </c>
      <c r="BJ119" t="s">
        <v>457</v>
      </c>
      <c r="BK119" t="s">
        <v>493</v>
      </c>
      <c r="BL119" t="s">
        <v>481</v>
      </c>
      <c r="BR119" t="s">
        <v>469</v>
      </c>
    </row>
    <row r="120" spans="60:70" ht="18.75" customHeight="1" x14ac:dyDescent="0.2">
      <c r="BH120" s="1">
        <f>COUNTIF($BH$13:$BH$72,$BH119)</f>
        <v>0</v>
      </c>
      <c r="BI120" s="1">
        <f>COUNTIF($BI$13:$BI$72,$BI119)</f>
        <v>0</v>
      </c>
      <c r="BJ120" s="1">
        <f>COUNTIF($BJ$13:$BJ$72,$BJ119)</f>
        <v>0</v>
      </c>
      <c r="BK120" s="1">
        <f>COUNTIF($BK$13:$BK$72,$BK119)</f>
        <v>0</v>
      </c>
      <c r="BL120" s="1">
        <f>COUNTIF($BL$13:$BL$72,$BL119)</f>
        <v>0</v>
      </c>
      <c r="BR120" s="1">
        <f>COUNTIF($BR$13:$BR$72,$BR119)</f>
        <v>0</v>
      </c>
    </row>
  </sheetData>
  <sheetProtection algorithmName="SHA-512" hashValue="Q4SHsDMcKavoP6kWf3Z1sxFLJWMKvGcjVN5ByDhdq2h09dvdMQ1fbM6pKFOeuDfZ/MR5kogE0GbWf9tlMJEaBg==" saltValue="gzaKcEtd48FgTtwIDlTMDg==" spinCount="100000" sheet="1" selectLockedCells="1"/>
  <mergeCells count="255">
    <mergeCell ref="CY43:CY44"/>
    <mergeCell ref="DC43:DC44"/>
    <mergeCell ref="CY45:CY46"/>
    <mergeCell ref="DC45:DC46"/>
    <mergeCell ref="CY47:CY48"/>
    <mergeCell ref="DC47:DC48"/>
    <mergeCell ref="CY49:CY50"/>
    <mergeCell ref="DC49:DC50"/>
    <mergeCell ref="CY51:CY52"/>
    <mergeCell ref="DC51:DC52"/>
    <mergeCell ref="CY71:CY72"/>
    <mergeCell ref="DC71:DC72"/>
    <mergeCell ref="CY53:CY54"/>
    <mergeCell ref="DC53:DC54"/>
    <mergeCell ref="CY55:CY56"/>
    <mergeCell ref="DC55:DC56"/>
    <mergeCell ref="CY57:CY58"/>
    <mergeCell ref="DC57:DC58"/>
    <mergeCell ref="CY59:CY60"/>
    <mergeCell ref="DC59:DC60"/>
    <mergeCell ref="CY61:CY62"/>
    <mergeCell ref="DC61:DC62"/>
    <mergeCell ref="CY63:CY64"/>
    <mergeCell ref="DC63:DC64"/>
    <mergeCell ref="CY65:CY66"/>
    <mergeCell ref="DC65:DC66"/>
    <mergeCell ref="CY67:CY68"/>
    <mergeCell ref="DC67:DC68"/>
    <mergeCell ref="CY69:CY70"/>
    <mergeCell ref="DC69:DC70"/>
    <mergeCell ref="DC37:DC38"/>
    <mergeCell ref="CY39:CY40"/>
    <mergeCell ref="DC39:DC40"/>
    <mergeCell ref="CY41:CY42"/>
    <mergeCell ref="DC41:DC42"/>
    <mergeCell ref="CY23:CY24"/>
    <mergeCell ref="DC23:DC24"/>
    <mergeCell ref="CY25:CY26"/>
    <mergeCell ref="DC25:DC26"/>
    <mergeCell ref="CY27:CY28"/>
    <mergeCell ref="DC27:DC28"/>
    <mergeCell ref="CY29:CY30"/>
    <mergeCell ref="DC29:DC30"/>
    <mergeCell ref="CY31:CY32"/>
    <mergeCell ref="DC31:DC32"/>
    <mergeCell ref="CY33:CY34"/>
    <mergeCell ref="DC33:DC34"/>
    <mergeCell ref="CY35:CY36"/>
    <mergeCell ref="DC35:DC36"/>
    <mergeCell ref="CY37:CY38"/>
    <mergeCell ref="CY13:CY14"/>
    <mergeCell ref="DC13:DC14"/>
    <mergeCell ref="CY15:CY16"/>
    <mergeCell ref="DC15:DC16"/>
    <mergeCell ref="CY17:CY18"/>
    <mergeCell ref="DC17:DC18"/>
    <mergeCell ref="CY19:CY20"/>
    <mergeCell ref="DC19:DC20"/>
    <mergeCell ref="CY21:CY22"/>
    <mergeCell ref="DC21:DC22"/>
    <mergeCell ref="J2:O2"/>
    <mergeCell ref="X2:AJ2"/>
    <mergeCell ref="AH11:AI12"/>
    <mergeCell ref="CN11:CO11"/>
    <mergeCell ref="J3:O3"/>
    <mergeCell ref="N4:O4"/>
    <mergeCell ref="N11:N12"/>
    <mergeCell ref="O11:O12"/>
    <mergeCell ref="Q11:Q12"/>
    <mergeCell ref="X5:Y5"/>
    <mergeCell ref="X11:Y12"/>
    <mergeCell ref="Q2:W2"/>
    <mergeCell ref="AM5:AN5"/>
    <mergeCell ref="AM11:AN12"/>
    <mergeCell ref="AO5:AP5"/>
    <mergeCell ref="AO11:AP12"/>
    <mergeCell ref="AL3:AP4"/>
    <mergeCell ref="CA11:CB11"/>
    <mergeCell ref="CC11:CD11"/>
    <mergeCell ref="BK11:BK12"/>
    <mergeCell ref="Q3:W4"/>
    <mergeCell ref="BH11:BH12"/>
    <mergeCell ref="X3:AI4"/>
    <mergeCell ref="AJ3:AK5"/>
    <mergeCell ref="DK11:DO11"/>
    <mergeCell ref="CH61:CH62"/>
    <mergeCell ref="CL61:CL62"/>
    <mergeCell ref="CH63:CH64"/>
    <mergeCell ref="CL63:CL64"/>
    <mergeCell ref="CH49:CH50"/>
    <mergeCell ref="CL49:CL50"/>
    <mergeCell ref="CH51:CH52"/>
    <mergeCell ref="CL51:CL52"/>
    <mergeCell ref="CH37:CH38"/>
    <mergeCell ref="CL37:CL38"/>
    <mergeCell ref="CL55:CL56"/>
    <mergeCell ref="CH53:CH54"/>
    <mergeCell ref="CL53:CL54"/>
    <mergeCell ref="CH55:CH56"/>
    <mergeCell ref="CH57:CH58"/>
    <mergeCell ref="CL57:CL58"/>
    <mergeCell ref="CH39:CH40"/>
    <mergeCell ref="CL39:CL40"/>
    <mergeCell ref="CH41:CH42"/>
    <mergeCell ref="CL41:CL42"/>
    <mergeCell ref="CH43:CH44"/>
    <mergeCell ref="CL43:CL44"/>
    <mergeCell ref="CH25:CH26"/>
    <mergeCell ref="CH69:CH70"/>
    <mergeCell ref="CL69:CL70"/>
    <mergeCell ref="CH71:CH72"/>
    <mergeCell ref="CL71:CL72"/>
    <mergeCell ref="CH59:CH60"/>
    <mergeCell ref="CL59:CL60"/>
    <mergeCell ref="CH65:CH66"/>
    <mergeCell ref="CL65:CL66"/>
    <mergeCell ref="CH67:CH68"/>
    <mergeCell ref="CL67:CL68"/>
    <mergeCell ref="CH21:CH22"/>
    <mergeCell ref="CL21:CL22"/>
    <mergeCell ref="CH23:CH24"/>
    <mergeCell ref="CL23:CL24"/>
    <mergeCell ref="CL25:CL26"/>
    <mergeCell ref="CH45:CH46"/>
    <mergeCell ref="CL45:CL46"/>
    <mergeCell ref="CH47:CH48"/>
    <mergeCell ref="CL47:CL48"/>
    <mergeCell ref="CH27:CH28"/>
    <mergeCell ref="CL27:CL28"/>
    <mergeCell ref="CH29:CH30"/>
    <mergeCell ref="CL29:CL30"/>
    <mergeCell ref="CH31:CH32"/>
    <mergeCell ref="CL31:CL32"/>
    <mergeCell ref="CH33:CH34"/>
    <mergeCell ref="CL33:CL34"/>
    <mergeCell ref="CH35:CH36"/>
    <mergeCell ref="CL35:CL36"/>
    <mergeCell ref="CH13:CH14"/>
    <mergeCell ref="CL13:CL14"/>
    <mergeCell ref="CH15:CH16"/>
    <mergeCell ref="CL15:CL16"/>
    <mergeCell ref="CH17:CH18"/>
    <mergeCell ref="CL17:CL18"/>
    <mergeCell ref="CH19:CH20"/>
    <mergeCell ref="CL19:CL20"/>
    <mergeCell ref="B3:D3"/>
    <mergeCell ref="E3:G3"/>
    <mergeCell ref="H11:H12"/>
    <mergeCell ref="BM11:BR11"/>
    <mergeCell ref="R11:R12"/>
    <mergeCell ref="S11:S12"/>
    <mergeCell ref="V11:W12"/>
    <mergeCell ref="B4:B5"/>
    <mergeCell ref="D4:D5"/>
    <mergeCell ref="E4:E5"/>
    <mergeCell ref="F4:F5"/>
    <mergeCell ref="G4:G5"/>
    <mergeCell ref="AU11:AV11"/>
    <mergeCell ref="J4:M4"/>
    <mergeCell ref="BJ11:BJ12"/>
    <mergeCell ref="BL11:BL12"/>
    <mergeCell ref="H3:H5"/>
    <mergeCell ref="U11:U12"/>
    <mergeCell ref="T11:T12"/>
    <mergeCell ref="B11:G12"/>
    <mergeCell ref="AH5:AI5"/>
    <mergeCell ref="C4:C5"/>
    <mergeCell ref="BO51:BO52"/>
    <mergeCell ref="BO33:BO34"/>
    <mergeCell ref="BO15:BO16"/>
    <mergeCell ref="BO17:BO18"/>
    <mergeCell ref="I3:I5"/>
    <mergeCell ref="BI11:BI12"/>
    <mergeCell ref="I11:I12"/>
    <mergeCell ref="J11:J12"/>
    <mergeCell ref="K11:K12"/>
    <mergeCell ref="L11:L12"/>
    <mergeCell ref="M11:M12"/>
    <mergeCell ref="AQ4:AR4"/>
    <mergeCell ref="V5:W5"/>
    <mergeCell ref="BH10:BR10"/>
    <mergeCell ref="AQ11:AQ12"/>
    <mergeCell ref="AR11:AR12"/>
    <mergeCell ref="BA10:BD10"/>
    <mergeCell ref="BO41:BO42"/>
    <mergeCell ref="BR71:BR72"/>
    <mergeCell ref="BR53:BR54"/>
    <mergeCell ref="BR55:BR56"/>
    <mergeCell ref="BR57:BR58"/>
    <mergeCell ref="BR59:BR60"/>
    <mergeCell ref="BR61:BR62"/>
    <mergeCell ref="BR65:BR66"/>
    <mergeCell ref="BR67:BR68"/>
    <mergeCell ref="BR69:BR70"/>
    <mergeCell ref="BO23:BO24"/>
    <mergeCell ref="BO21:BO22"/>
    <mergeCell ref="BR41:BR42"/>
    <mergeCell ref="BR43:BR44"/>
    <mergeCell ref="BR47:BR48"/>
    <mergeCell ref="BR45:BR46"/>
    <mergeCell ref="BR49:BR50"/>
    <mergeCell ref="BR33:BR34"/>
    <mergeCell ref="BR29:BR30"/>
    <mergeCell ref="BR31:BR32"/>
    <mergeCell ref="BR25:BR26"/>
    <mergeCell ref="BR37:BR38"/>
    <mergeCell ref="BR23:BR24"/>
    <mergeCell ref="BR15:BR16"/>
    <mergeCell ref="BR17:BR18"/>
    <mergeCell ref="BO69:BO70"/>
    <mergeCell ref="BO71:BO72"/>
    <mergeCell ref="BO53:BO54"/>
    <mergeCell ref="BO55:BO56"/>
    <mergeCell ref="BO57:BO58"/>
    <mergeCell ref="BO59:BO60"/>
    <mergeCell ref="BO61:BO62"/>
    <mergeCell ref="BO65:BO66"/>
    <mergeCell ref="BO63:BO64"/>
    <mergeCell ref="BO67:BO68"/>
    <mergeCell ref="BO19:BO20"/>
    <mergeCell ref="BO35:BO36"/>
    <mergeCell ref="BO43:BO44"/>
    <mergeCell ref="BO45:BO46"/>
    <mergeCell ref="BO37:BO38"/>
    <mergeCell ref="BO27:BO28"/>
    <mergeCell ref="BO29:BO30"/>
    <mergeCell ref="BR35:BR36"/>
    <mergeCell ref="BR39:BR40"/>
    <mergeCell ref="BO47:BO48"/>
    <mergeCell ref="BO49:BO50"/>
    <mergeCell ref="BO39:BO40"/>
    <mergeCell ref="BO13:BO14"/>
    <mergeCell ref="P3:P4"/>
    <mergeCell ref="P11:P12"/>
    <mergeCell ref="AL11:AL12"/>
    <mergeCell ref="BR51:BR52"/>
    <mergeCell ref="BR63:BR64"/>
    <mergeCell ref="DM74:DN74"/>
    <mergeCell ref="DF74:DI74"/>
    <mergeCell ref="DJ74:DK74"/>
    <mergeCell ref="Z5:AA5"/>
    <mergeCell ref="Z11:AA12"/>
    <mergeCell ref="AB5:AC5"/>
    <mergeCell ref="AB11:AC12"/>
    <mergeCell ref="AD5:AE5"/>
    <mergeCell ref="AD11:AE12"/>
    <mergeCell ref="AF5:AG5"/>
    <mergeCell ref="AF11:AG12"/>
    <mergeCell ref="BO31:BO32"/>
    <mergeCell ref="BR27:BR28"/>
    <mergeCell ref="BR19:BR20"/>
    <mergeCell ref="BR21:BR22"/>
    <mergeCell ref="BO25:BO26"/>
    <mergeCell ref="BR13:BR14"/>
    <mergeCell ref="AJ11:AK12"/>
  </mergeCells>
  <phoneticPr fontId="7"/>
  <conditionalFormatting sqref="D13:D72">
    <cfRule type="cellIs" dxfId="7" priority="3" operator="equal">
      <formula>"重複"</formula>
    </cfRule>
  </conditionalFormatting>
  <conditionalFormatting sqref="I1:I1048576">
    <cfRule type="containsText" dxfId="6" priority="2" operator="containsText" text="127">
      <formula>NOT(ISERROR(SEARCH("127",I1)))</formula>
    </cfRule>
  </conditionalFormatting>
  <conditionalFormatting sqref="R13:AK72 AQ13:AR72">
    <cfRule type="expression" dxfId="5" priority="22">
      <formula>$AX13=0</formula>
    </cfRule>
  </conditionalFormatting>
  <conditionalFormatting sqref="Y13:AK72">
    <cfRule type="containsErrors" dxfId="4" priority="54">
      <formula>ISERROR(Y13)</formula>
    </cfRule>
  </conditionalFormatting>
  <conditionalFormatting sqref="AJ13:AK72">
    <cfRule type="expression" dxfId="3" priority="19">
      <formula>$AX13&lt;3</formula>
    </cfRule>
  </conditionalFormatting>
  <conditionalFormatting sqref="AL1:AL1048576">
    <cfRule type="containsText" dxfId="2" priority="1" operator="containsText" text="127">
      <formula>NOT(ISERROR(SEARCH("127",AL1)))</formula>
    </cfRule>
  </conditionalFormatting>
  <conditionalFormatting sqref="AM13:AP72">
    <cfRule type="expression" dxfId="1" priority="6">
      <formula>$CQ13=0</formula>
    </cfRule>
    <cfRule type="containsErrors" dxfId="0" priority="55">
      <formula>ISERROR(AM13)</formula>
    </cfRule>
  </conditionalFormatting>
  <dataValidations count="11">
    <dataValidation type="list" allowBlank="1" showInputMessage="1" showErrorMessage="1" sqref="F6:F10 F13:F72" xr:uid="{00000000-0002-0000-0100-000000000000}">
      <formula1>"男子"</formula1>
    </dataValidation>
    <dataValidation type="list" allowBlank="1" showInputMessage="1" showErrorMessage="1" sqref="Q13:Q72" xr:uid="{00000000-0002-0000-0100-000001000000}">
      <formula1>$AT$15:$AT$18</formula1>
    </dataValidation>
    <dataValidation type="list" allowBlank="1" showInputMessage="1" showErrorMessage="1" sqref="R13:R72 T13:V72" xr:uid="{00000000-0002-0000-0100-000002000000}">
      <formula1>$AT$16:$AT$18</formula1>
    </dataValidation>
    <dataValidation type="list" allowBlank="1" showInputMessage="1" showErrorMessage="1" sqref="S13:S72" xr:uid="{00000000-0002-0000-0100-000003000000}">
      <formula1>$AT$19:$AT$20</formula1>
    </dataValidation>
    <dataValidation imeMode="on" allowBlank="1" showInputMessage="1" showErrorMessage="1" sqref="B2:C3" xr:uid="{00000000-0002-0000-0100-000004000000}"/>
    <dataValidation imeMode="off" allowBlank="1" showInputMessage="1" showErrorMessage="1" sqref="AD73:AG65461 AQ73:AR65461" xr:uid="{00000000-0002-0000-0100-000005000000}"/>
    <dataValidation imeMode="halfAlpha" allowBlank="1" showInputMessage="1" showErrorMessage="1" sqref="W13:W72 G8 G13:G72" xr:uid="{00000000-0002-0000-0100-000006000000}"/>
    <dataValidation type="list" allowBlank="1" showInputMessage="1" showErrorMessage="1" sqref="AB13:AB72 AD13:AD72 AJ13:AJ72 Z13:Z72 X13:X72 J13:O72 AF13:AF72 AM13:AM72" xr:uid="{00000000-0002-0000-0100-000007000000}">
      <formula1>$AT$13:$AT$14</formula1>
    </dataValidation>
    <dataValidation imeMode="hiragana" allowBlank="1" showInputMessage="1" showErrorMessage="1" sqref="AQ13:AR72 D13:E72" xr:uid="{00000000-0002-0000-0100-000008000000}"/>
    <dataValidation imeMode="disabled" allowBlank="1" showInputMessage="1" showErrorMessage="1" sqref="AO11:AO12 AH2 AH5:AH1048576" xr:uid="{00000000-0002-0000-0100-000009000000}"/>
    <dataValidation type="list" allowBlank="1" showInputMessage="1" showErrorMessage="1" sqref="P13:P72" xr:uid="{00000000-0002-0000-0100-00000A000000}">
      <formula1>IF($I13&lt;13,$AT$23,$AT$24)</formula1>
    </dataValidation>
  </dataValidations>
  <pageMargins left="0.23622047244094491" right="0.19685039370078741" top="0.43307086614173229" bottom="0.11811023622047245" header="0.31496062992125984" footer="0.11811023622047245"/>
  <pageSetup paperSize="9" scale="67" pageOrder="overThenDown" orientation="landscape" r:id="rId1"/>
  <rowBreaks count="1" manualBreakCount="1">
    <brk id="42" min="8" max="34" man="1"/>
  </rowBreaks>
  <colBreaks count="1" manualBreakCount="1">
    <brk id="23" min="12" max="7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rgb="FF00B0F0"/>
  </sheetPr>
  <dimension ref="A1:AF111"/>
  <sheetViews>
    <sheetView zoomScale="80" zoomScaleNormal="80" workbookViewId="0">
      <selection activeCell="E4" sqref="E4:M4"/>
    </sheetView>
  </sheetViews>
  <sheetFormatPr defaultColWidth="9" defaultRowHeight="13.2" x14ac:dyDescent="0.2"/>
  <cols>
    <col min="1" max="1" width="15" style="2" customWidth="1"/>
    <col min="2" max="2" width="6.21875" style="2" customWidth="1"/>
    <col min="3" max="4" width="6.6640625" style="2" customWidth="1"/>
    <col min="5" max="19" width="6.21875" style="2" customWidth="1"/>
    <col min="20" max="26" width="6.21875" style="3" customWidth="1"/>
    <col min="27" max="27" width="9" style="3" bestFit="1" customWidth="1"/>
    <col min="28" max="28" width="2.77734375" style="3" customWidth="1"/>
    <col min="29" max="30" width="6.6640625" style="3" customWidth="1"/>
    <col min="31" max="31" width="10.33203125" style="3" bestFit="1" customWidth="1"/>
    <col min="32" max="16384" width="9" style="3"/>
  </cols>
  <sheetData>
    <row r="1" spans="1:32" ht="30" customHeight="1" thickBot="1" x14ac:dyDescent="0.25">
      <c r="I1" s="895" t="s">
        <v>33</v>
      </c>
      <c r="J1" s="896"/>
      <c r="K1" s="896"/>
      <c r="L1" s="896"/>
      <c r="M1" s="896"/>
      <c r="N1" s="896"/>
      <c r="O1" s="896"/>
      <c r="P1" s="896"/>
      <c r="Q1" s="896"/>
      <c r="R1" s="897"/>
      <c r="W1" s="751" t="s">
        <v>34</v>
      </c>
      <c r="X1" s="752"/>
      <c r="Y1" s="824">
        <f>団体情報・入力の仕方!G3</f>
        <v>0</v>
      </c>
      <c r="Z1" s="825"/>
      <c r="AA1" s="826"/>
    </row>
    <row r="3" spans="1:32" ht="25.5" customHeight="1" thickBot="1" x14ac:dyDescent="0.25">
      <c r="A3" s="903" t="s">
        <v>842</v>
      </c>
      <c r="B3" s="903"/>
      <c r="C3" s="903"/>
      <c r="D3" s="903"/>
      <c r="E3" s="903"/>
      <c r="F3" s="903"/>
      <c r="G3" s="903"/>
      <c r="H3" s="903"/>
      <c r="I3" s="903"/>
      <c r="J3" s="903"/>
      <c r="K3" s="903"/>
      <c r="L3" s="903"/>
      <c r="M3" s="903"/>
      <c r="N3" s="903"/>
      <c r="O3" s="903"/>
      <c r="P3" s="903"/>
      <c r="Q3" s="903"/>
      <c r="R3" s="903"/>
      <c r="S3" s="903"/>
      <c r="T3" s="903"/>
      <c r="U3" s="903"/>
      <c r="W3" s="898" t="s">
        <v>35</v>
      </c>
      <c r="X3" s="898"/>
      <c r="Y3" s="898">
        <f>団体情報・入力の仕方!$C$3</f>
        <v>0</v>
      </c>
      <c r="Z3" s="898"/>
      <c r="AA3" s="898"/>
    </row>
    <row r="4" spans="1:32" ht="27" customHeight="1" thickBot="1" x14ac:dyDescent="0.25">
      <c r="A4" s="3"/>
      <c r="B4" s="510"/>
      <c r="C4" s="902" t="s">
        <v>36</v>
      </c>
      <c r="D4" s="902"/>
      <c r="E4" s="901">
        <f>団体情報・入力の仕方!$C$4</f>
        <v>0</v>
      </c>
      <c r="F4" s="901"/>
      <c r="G4" s="901"/>
      <c r="H4" s="901"/>
      <c r="I4" s="901"/>
      <c r="J4" s="901"/>
      <c r="K4" s="901"/>
      <c r="L4" s="901"/>
      <c r="M4" s="901"/>
      <c r="O4" s="899" t="s">
        <v>380</v>
      </c>
      <c r="P4" s="902"/>
      <c r="Q4" s="898">
        <f>団体情報・入力の仕方!$C$7</f>
        <v>0</v>
      </c>
      <c r="R4" s="898"/>
      <c r="S4" s="898"/>
      <c r="T4" s="898"/>
      <c r="V4" s="899" t="s">
        <v>381</v>
      </c>
      <c r="W4" s="899"/>
      <c r="X4" s="899"/>
      <c r="Y4" s="900">
        <f>団体情報・入力の仕方!$J$7</f>
        <v>0</v>
      </c>
      <c r="Z4" s="900"/>
      <c r="AA4" s="900"/>
    </row>
    <row r="5" spans="1:32" ht="22.5" customHeight="1" x14ac:dyDescent="0.2">
      <c r="A5" s="510" t="s">
        <v>839</v>
      </c>
      <c r="B5" s="510"/>
      <c r="E5" s="511"/>
      <c r="F5" s="511"/>
      <c r="G5" s="511"/>
      <c r="H5" s="511"/>
      <c r="I5" s="511"/>
      <c r="J5" s="511"/>
      <c r="K5" s="511"/>
      <c r="L5" s="511"/>
      <c r="M5" s="511"/>
      <c r="O5" s="512"/>
      <c r="Q5" s="513"/>
      <c r="R5" s="513"/>
      <c r="S5" s="513"/>
      <c r="T5" s="513"/>
      <c r="V5" s="512"/>
      <c r="W5" s="512"/>
      <c r="X5" s="512"/>
      <c r="Y5" s="514"/>
      <c r="Z5" s="514"/>
      <c r="AA5" s="514"/>
    </row>
    <row r="6" spans="1:32" customFormat="1" ht="22.5" customHeight="1" x14ac:dyDescent="0.2">
      <c r="A6" s="510" t="s">
        <v>840</v>
      </c>
    </row>
    <row r="7" spans="1:32" customFormat="1" ht="22.5" customHeight="1" thickBot="1" x14ac:dyDescent="0.25">
      <c r="A7" s="510" t="s">
        <v>841</v>
      </c>
    </row>
    <row r="8" spans="1:32" customFormat="1" ht="20.100000000000001" customHeight="1" thickBot="1" x14ac:dyDescent="0.25">
      <c r="A8" s="2"/>
      <c r="B8" s="14"/>
      <c r="E8" s="1"/>
      <c r="F8" s="919" t="s">
        <v>26</v>
      </c>
      <c r="G8" s="920"/>
      <c r="H8" s="917" t="s">
        <v>1</v>
      </c>
      <c r="I8" s="918"/>
      <c r="J8" s="918"/>
      <c r="K8" s="918"/>
      <c r="L8" s="918"/>
      <c r="M8" s="921"/>
      <c r="N8" s="917" t="s">
        <v>2</v>
      </c>
      <c r="O8" s="918"/>
      <c r="P8" s="921"/>
      <c r="Q8" s="917" t="s">
        <v>3</v>
      </c>
      <c r="R8" s="918"/>
      <c r="S8" s="921"/>
      <c r="T8" s="917" t="s">
        <v>4</v>
      </c>
      <c r="U8" s="918"/>
      <c r="V8" s="918"/>
      <c r="W8" s="918"/>
      <c r="X8" s="918"/>
      <c r="Y8" s="918"/>
      <c r="Z8" s="918"/>
      <c r="AA8" s="827" t="s">
        <v>38</v>
      </c>
      <c r="AE8" s="3"/>
      <c r="AF8" s="3"/>
    </row>
    <row r="9" spans="1:32" customFormat="1" ht="20.100000000000001" customHeight="1" x14ac:dyDescent="0.2">
      <c r="E9" s="16" t="s">
        <v>61</v>
      </c>
      <c r="F9" s="905" t="s">
        <v>52</v>
      </c>
      <c r="G9" s="906"/>
      <c r="H9" s="15" t="s">
        <v>5</v>
      </c>
      <c r="I9" s="15" t="s">
        <v>6</v>
      </c>
      <c r="J9" s="15" t="s">
        <v>7</v>
      </c>
      <c r="K9" s="15" t="s">
        <v>8</v>
      </c>
      <c r="L9" s="15" t="s">
        <v>9</v>
      </c>
      <c r="M9" s="15" t="s">
        <v>10</v>
      </c>
      <c r="N9" s="15" t="s">
        <v>11</v>
      </c>
      <c r="O9" s="15" t="s">
        <v>12</v>
      </c>
      <c r="P9" s="15" t="s">
        <v>13</v>
      </c>
      <c r="Q9" s="15" t="s">
        <v>14</v>
      </c>
      <c r="R9" s="15" t="s">
        <v>15</v>
      </c>
      <c r="S9" s="15" t="s">
        <v>16</v>
      </c>
      <c r="T9" s="15" t="s">
        <v>17</v>
      </c>
      <c r="U9" s="15" t="s">
        <v>18</v>
      </c>
      <c r="V9" s="15" t="s">
        <v>19</v>
      </c>
      <c r="W9" s="15" t="s">
        <v>20</v>
      </c>
      <c r="X9" s="907" t="s">
        <v>64</v>
      </c>
      <c r="Y9" s="907"/>
      <c r="Z9" s="905"/>
      <c r="AA9" s="904"/>
      <c r="AE9" s="3"/>
      <c r="AF9" s="3"/>
    </row>
    <row r="10" spans="1:32" customFormat="1" ht="19.5" customHeight="1" thickBot="1" x14ac:dyDescent="0.25">
      <c r="E10" s="75" t="s">
        <v>62</v>
      </c>
      <c r="F10" s="913" t="s">
        <v>27</v>
      </c>
      <c r="G10" s="914"/>
      <c r="H10" s="803" t="s">
        <v>28</v>
      </c>
      <c r="I10" s="803"/>
      <c r="J10" s="803"/>
      <c r="K10" s="803" t="s">
        <v>29</v>
      </c>
      <c r="L10" s="803"/>
      <c r="M10" s="803"/>
      <c r="N10" s="803" t="s">
        <v>30</v>
      </c>
      <c r="O10" s="803"/>
      <c r="P10" s="803"/>
      <c r="Q10" s="803" t="s">
        <v>31</v>
      </c>
      <c r="R10" s="803"/>
      <c r="S10" s="803"/>
      <c r="T10" s="915" t="s">
        <v>32</v>
      </c>
      <c r="U10" s="916"/>
      <c r="V10" s="916"/>
      <c r="W10" s="916"/>
      <c r="X10" s="916"/>
      <c r="Y10" s="916"/>
      <c r="Z10" s="916"/>
      <c r="AA10" s="828"/>
      <c r="AB10" s="3"/>
      <c r="AE10" s="3"/>
      <c r="AF10" s="3"/>
    </row>
    <row r="11" spans="1:32" customFormat="1" ht="26.25" customHeight="1" thickTop="1" thickBot="1" x14ac:dyDescent="0.25">
      <c r="A11" s="731" t="s">
        <v>539</v>
      </c>
      <c r="B11" s="732"/>
      <c r="C11" s="771" t="s">
        <v>605</v>
      </c>
      <c r="D11" s="750"/>
      <c r="E11" s="20" t="s">
        <v>53</v>
      </c>
      <c r="F11" s="772">
        <f>入力シート!$BA$74</f>
        <v>0</v>
      </c>
      <c r="G11" s="773"/>
      <c r="H11" s="774">
        <f>入力シート!$BA$76</f>
        <v>0</v>
      </c>
      <c r="I11" s="774"/>
      <c r="J11" s="774"/>
      <c r="K11" s="774">
        <f>入力シート!$BA$78</f>
        <v>0</v>
      </c>
      <c r="L11" s="774"/>
      <c r="M11" s="774"/>
      <c r="N11" s="774">
        <f>入力シート!$BA$80</f>
        <v>0</v>
      </c>
      <c r="O11" s="774"/>
      <c r="P11" s="774"/>
      <c r="Q11" s="774">
        <f>入力シート!$BA$82</f>
        <v>0</v>
      </c>
      <c r="R11" s="774"/>
      <c r="S11" s="774"/>
      <c r="T11" s="762">
        <f>入力シート!$BA$84</f>
        <v>0</v>
      </c>
      <c r="U11" s="766"/>
      <c r="V11" s="766"/>
      <c r="W11" s="766"/>
      <c r="X11" s="766"/>
      <c r="Y11" s="766"/>
      <c r="Z11" s="766"/>
      <c r="AA11" s="86">
        <f t="shared" ref="AA11:AA16" si="0">SUM(F11:Z11)</f>
        <v>0</v>
      </c>
      <c r="AC11" s="3"/>
      <c r="AD11" s="3"/>
      <c r="AE11" s="3"/>
      <c r="AF11" s="3"/>
    </row>
    <row r="12" spans="1:32" customFormat="1" ht="26.25" customHeight="1" thickTop="1" x14ac:dyDescent="0.2">
      <c r="A12" s="733"/>
      <c r="B12" s="734"/>
      <c r="C12" s="745"/>
      <c r="D12" s="746"/>
      <c r="E12" s="17" t="s">
        <v>55</v>
      </c>
      <c r="F12" s="727">
        <f>入力シート!$BB$74</f>
        <v>0</v>
      </c>
      <c r="G12" s="730"/>
      <c r="H12" s="727">
        <f>入力シート!$BB$76</f>
        <v>0</v>
      </c>
      <c r="I12" s="728"/>
      <c r="J12" s="730"/>
      <c r="K12" s="727">
        <f>入力シート!$BB$78</f>
        <v>0</v>
      </c>
      <c r="L12" s="728"/>
      <c r="M12" s="730"/>
      <c r="N12" s="727">
        <f>入力シート!$BB$80</f>
        <v>0</v>
      </c>
      <c r="O12" s="728"/>
      <c r="P12" s="730"/>
      <c r="Q12" s="727">
        <f>入力シート!$BB$82</f>
        <v>0</v>
      </c>
      <c r="R12" s="728"/>
      <c r="S12" s="730"/>
      <c r="T12" s="727">
        <f>入力シート!$BB$84</f>
        <v>0</v>
      </c>
      <c r="U12" s="728"/>
      <c r="V12" s="728"/>
      <c r="W12" s="728"/>
      <c r="X12" s="728"/>
      <c r="Y12" s="728"/>
      <c r="Z12" s="728"/>
      <c r="AA12" s="87">
        <f t="shared" si="0"/>
        <v>0</v>
      </c>
      <c r="AC12" s="753" t="s">
        <v>606</v>
      </c>
      <c r="AD12" s="754"/>
      <c r="AE12" s="3"/>
      <c r="AF12" s="3"/>
    </row>
    <row r="13" spans="1:32" customFormat="1" ht="26.25" customHeight="1" x14ac:dyDescent="0.2">
      <c r="A13" s="733"/>
      <c r="B13" s="734"/>
      <c r="C13" s="745"/>
      <c r="D13" s="746"/>
      <c r="E13" s="17" t="s">
        <v>57</v>
      </c>
      <c r="F13" s="727">
        <f>入力シート!$BC$74</f>
        <v>0</v>
      </c>
      <c r="G13" s="730"/>
      <c r="H13" s="727">
        <f>入力シート!$BC$76</f>
        <v>0</v>
      </c>
      <c r="I13" s="728"/>
      <c r="J13" s="730"/>
      <c r="K13" s="727">
        <f>入力シート!$BC$78</f>
        <v>0</v>
      </c>
      <c r="L13" s="728"/>
      <c r="M13" s="730"/>
      <c r="N13" s="727">
        <f>入力シート!$BC$80</f>
        <v>0</v>
      </c>
      <c r="O13" s="728"/>
      <c r="P13" s="730"/>
      <c r="Q13" s="727">
        <f>入力シート!$BC$82</f>
        <v>0</v>
      </c>
      <c r="R13" s="728"/>
      <c r="S13" s="730"/>
      <c r="T13" s="727">
        <f>入力シート!$BC$84</f>
        <v>0</v>
      </c>
      <c r="U13" s="728"/>
      <c r="V13" s="728"/>
      <c r="W13" s="728"/>
      <c r="X13" s="728"/>
      <c r="Y13" s="728"/>
      <c r="Z13" s="728"/>
      <c r="AA13" s="87">
        <f t="shared" si="0"/>
        <v>0</v>
      </c>
      <c r="AC13" s="767">
        <f>SUM(AA11:AA16)</f>
        <v>0</v>
      </c>
      <c r="AD13" s="768"/>
    </row>
    <row r="14" spans="1:32" customFormat="1" ht="26.25" customHeight="1" thickBot="1" x14ac:dyDescent="0.25">
      <c r="A14" s="735"/>
      <c r="B14" s="736"/>
      <c r="C14" s="764"/>
      <c r="D14" s="765"/>
      <c r="E14" s="31" t="s">
        <v>59</v>
      </c>
      <c r="F14" s="739">
        <f>入力シート!$BD$74</f>
        <v>0</v>
      </c>
      <c r="G14" s="741"/>
      <c r="H14" s="739">
        <f>入力シート!$BD$76</f>
        <v>0</v>
      </c>
      <c r="I14" s="740"/>
      <c r="J14" s="741"/>
      <c r="K14" s="739">
        <f>入力シート!$BD$78</f>
        <v>0</v>
      </c>
      <c r="L14" s="740"/>
      <c r="M14" s="741"/>
      <c r="N14" s="739">
        <f>入力シート!$BD$80</f>
        <v>0</v>
      </c>
      <c r="O14" s="740"/>
      <c r="P14" s="741"/>
      <c r="Q14" s="739">
        <f>入力シート!$BD$82</f>
        <v>0</v>
      </c>
      <c r="R14" s="740"/>
      <c r="S14" s="741"/>
      <c r="T14" s="739">
        <f>入力シート!$BD$84</f>
        <v>0</v>
      </c>
      <c r="U14" s="740"/>
      <c r="V14" s="740"/>
      <c r="W14" s="740"/>
      <c r="X14" s="740"/>
      <c r="Y14" s="740"/>
      <c r="Z14" s="740"/>
      <c r="AA14" s="307">
        <f t="shared" si="0"/>
        <v>0</v>
      </c>
      <c r="AC14" s="769"/>
      <c r="AD14" s="770"/>
    </row>
    <row r="15" spans="1:32" customFormat="1" ht="26.25" hidden="1" customHeight="1" thickTop="1" x14ac:dyDescent="0.2">
      <c r="A15" s="420"/>
      <c r="B15" s="421"/>
      <c r="C15" s="745" t="s">
        <v>607</v>
      </c>
      <c r="D15" s="746"/>
      <c r="E15" s="20" t="s">
        <v>55</v>
      </c>
      <c r="F15" s="762">
        <f>入力シート!$BE$74</f>
        <v>0</v>
      </c>
      <c r="G15" s="763"/>
      <c r="H15" s="762">
        <f>入力シート!$BE$76</f>
        <v>0</v>
      </c>
      <c r="I15" s="766"/>
      <c r="J15" s="763"/>
      <c r="K15" s="762">
        <f>入力シート!$BE$78</f>
        <v>0</v>
      </c>
      <c r="L15" s="766"/>
      <c r="M15" s="763"/>
      <c r="N15" s="762">
        <f>入力シート!$BE$80</f>
        <v>0</v>
      </c>
      <c r="O15" s="766"/>
      <c r="P15" s="763"/>
      <c r="Q15" s="762">
        <f>入力シート!$BE$82</f>
        <v>0</v>
      </c>
      <c r="R15" s="766"/>
      <c r="S15" s="763"/>
      <c r="T15" s="762">
        <f>入力シート!$BE$84</f>
        <v>0</v>
      </c>
      <c r="U15" s="766"/>
      <c r="V15" s="766"/>
      <c r="W15" s="766"/>
      <c r="X15" s="766"/>
      <c r="Y15" s="766"/>
      <c r="Z15" s="766"/>
      <c r="AA15" s="86">
        <f t="shared" si="0"/>
        <v>0</v>
      </c>
      <c r="AC15" s="3"/>
      <c r="AD15" s="3"/>
    </row>
    <row r="16" spans="1:32" customFormat="1" ht="19.8" hidden="1" thickBot="1" x14ac:dyDescent="0.25">
      <c r="A16" s="422"/>
      <c r="B16" s="423"/>
      <c r="C16" s="764"/>
      <c r="D16" s="765"/>
      <c r="E16" s="31" t="s">
        <v>57</v>
      </c>
      <c r="F16" s="739">
        <f>入力シート!$BF$74</f>
        <v>0</v>
      </c>
      <c r="G16" s="741"/>
      <c r="H16" s="739">
        <f>入力シート!$BF$76</f>
        <v>0</v>
      </c>
      <c r="I16" s="740"/>
      <c r="J16" s="741"/>
      <c r="K16" s="739">
        <f>入力シート!$BF$78</f>
        <v>0</v>
      </c>
      <c r="L16" s="740"/>
      <c r="M16" s="741"/>
      <c r="N16" s="739">
        <f>入力シート!$BF$80</f>
        <v>0</v>
      </c>
      <c r="O16" s="740"/>
      <c r="P16" s="741"/>
      <c r="Q16" s="739">
        <f>入力シート!$BF$82</f>
        <v>0</v>
      </c>
      <c r="R16" s="740"/>
      <c r="S16" s="741"/>
      <c r="T16" s="739">
        <f>入力シート!$BF$84</f>
        <v>0</v>
      </c>
      <c r="U16" s="740"/>
      <c r="V16" s="740"/>
      <c r="W16" s="740"/>
      <c r="X16" s="740"/>
      <c r="Y16" s="740"/>
      <c r="Z16" s="740"/>
      <c r="AA16" s="307">
        <f t="shared" si="0"/>
        <v>0</v>
      </c>
      <c r="AC16" s="3"/>
      <c r="AD16" s="3"/>
    </row>
    <row r="17" spans="1:31" customFormat="1" ht="6" customHeight="1" thickBot="1" x14ac:dyDescent="0.25">
      <c r="AC17" s="3"/>
      <c r="AD17" s="3"/>
    </row>
    <row r="18" spans="1:31" customFormat="1" ht="26.25" customHeight="1" thickTop="1" thickBot="1" x14ac:dyDescent="0.25">
      <c r="A18" s="755" t="s">
        <v>638</v>
      </c>
      <c r="B18" s="756"/>
      <c r="C18" s="756"/>
      <c r="D18" s="757"/>
      <c r="E18" s="338"/>
      <c r="F18" s="758">
        <f>入力シート!$BG$74</f>
        <v>0</v>
      </c>
      <c r="G18" s="759"/>
      <c r="H18" s="759"/>
      <c r="I18" s="759"/>
      <c r="J18" s="759"/>
      <c r="K18" s="759"/>
      <c r="L18" s="759"/>
      <c r="M18" s="760"/>
      <c r="N18" s="758">
        <f>入力シート!$BG$76</f>
        <v>0</v>
      </c>
      <c r="O18" s="759"/>
      <c r="P18" s="759"/>
      <c r="Q18" s="759"/>
      <c r="R18" s="759"/>
      <c r="S18" s="759"/>
      <c r="T18" s="759"/>
      <c r="U18" s="759"/>
      <c r="V18" s="759"/>
      <c r="W18" s="759"/>
      <c r="X18" s="759"/>
      <c r="Y18" s="759"/>
      <c r="Z18" s="761"/>
      <c r="AA18" s="339">
        <f>SUM(F18:S18)</f>
        <v>0</v>
      </c>
      <c r="AC18" s="753" t="s">
        <v>639</v>
      </c>
      <c r="AD18" s="754"/>
    </row>
    <row r="19" spans="1:31" customFormat="1" ht="6" customHeight="1" thickBot="1" x14ac:dyDescent="0.25">
      <c r="AC19" s="767">
        <f>AA18</f>
        <v>0</v>
      </c>
      <c r="AD19" s="768"/>
    </row>
    <row r="20" spans="1:31" customFormat="1" ht="26.25" customHeight="1" thickBot="1" x14ac:dyDescent="0.25">
      <c r="A20" s="700" t="s">
        <v>63</v>
      </c>
      <c r="B20" s="927"/>
      <c r="C20" s="749" t="s">
        <v>386</v>
      </c>
      <c r="D20" s="750"/>
      <c r="E20" s="19" t="s">
        <v>53</v>
      </c>
      <c r="F20" s="908">
        <f>入力シート!$BH$74</f>
        <v>0</v>
      </c>
      <c r="G20" s="910"/>
      <c r="H20" s="908">
        <f>入力シート!$BH$76</f>
        <v>0</v>
      </c>
      <c r="I20" s="909"/>
      <c r="J20" s="910"/>
      <c r="K20" s="908">
        <f>入力シート!$BH$78</f>
        <v>0</v>
      </c>
      <c r="L20" s="909"/>
      <c r="M20" s="910"/>
      <c r="N20" s="908">
        <f>入力シート!$BH$80</f>
        <v>0</v>
      </c>
      <c r="O20" s="909"/>
      <c r="P20" s="910"/>
      <c r="Q20" s="908">
        <f>入力シート!$BH$82</f>
        <v>0</v>
      </c>
      <c r="R20" s="909"/>
      <c r="S20" s="910"/>
      <c r="T20" s="911">
        <f>入力シート!$BH$84</f>
        <v>0</v>
      </c>
      <c r="U20" s="912"/>
      <c r="V20" s="912"/>
      <c r="W20" s="912"/>
      <c r="X20" s="912"/>
      <c r="Y20" s="912"/>
      <c r="Z20" s="912"/>
      <c r="AA20" s="82">
        <f>SUM(F20:Z20)</f>
        <v>0</v>
      </c>
      <c r="AC20" s="769"/>
      <c r="AD20" s="770"/>
    </row>
    <row r="21" spans="1:31" customFormat="1" ht="26.25" customHeight="1" thickTop="1" x14ac:dyDescent="0.2">
      <c r="A21" s="928"/>
      <c r="B21" s="929"/>
      <c r="C21" s="745"/>
      <c r="D21" s="746"/>
      <c r="E21" s="17" t="s">
        <v>55</v>
      </c>
      <c r="F21" s="727">
        <f>入力シート!$BH$86</f>
        <v>0</v>
      </c>
      <c r="G21" s="730"/>
      <c r="H21" s="727">
        <f>入力シート!$BH$88</f>
        <v>0</v>
      </c>
      <c r="I21" s="728"/>
      <c r="J21" s="730"/>
      <c r="K21" s="727">
        <f>入力シート!$BH$90</f>
        <v>0</v>
      </c>
      <c r="L21" s="728"/>
      <c r="M21" s="730"/>
      <c r="N21" s="727">
        <f>入力シート!$BH$92</f>
        <v>0</v>
      </c>
      <c r="O21" s="728"/>
      <c r="P21" s="730"/>
      <c r="Q21" s="727">
        <f>入力シート!$BH$94</f>
        <v>0</v>
      </c>
      <c r="R21" s="728"/>
      <c r="S21" s="730"/>
      <c r="T21" s="727">
        <f>入力シート!$BH$96</f>
        <v>0</v>
      </c>
      <c r="U21" s="728"/>
      <c r="V21" s="728"/>
      <c r="W21" s="728"/>
      <c r="X21" s="728"/>
      <c r="Y21" s="728"/>
      <c r="Z21" s="728"/>
      <c r="AA21" s="83">
        <f>SUM(F21:Z21)</f>
        <v>0</v>
      </c>
    </row>
    <row r="22" spans="1:31" customFormat="1" ht="26.25" customHeight="1" x14ac:dyDescent="0.2">
      <c r="A22" s="928"/>
      <c r="B22" s="929"/>
      <c r="C22" s="745"/>
      <c r="D22" s="746"/>
      <c r="E22" s="17" t="s">
        <v>57</v>
      </c>
      <c r="F22" s="727">
        <f>入力シート!$BH$98</f>
        <v>0</v>
      </c>
      <c r="G22" s="730"/>
      <c r="H22" s="727">
        <f>入力シート!$BH$100</f>
        <v>0</v>
      </c>
      <c r="I22" s="728"/>
      <c r="J22" s="730"/>
      <c r="K22" s="727">
        <f>入力シート!$BH$102</f>
        <v>0</v>
      </c>
      <c r="L22" s="728"/>
      <c r="M22" s="730"/>
      <c r="N22" s="727">
        <f>入力シート!$BH$104</f>
        <v>0</v>
      </c>
      <c r="O22" s="728"/>
      <c r="P22" s="730"/>
      <c r="Q22" s="727">
        <f>入力シート!$BH$106</f>
        <v>0</v>
      </c>
      <c r="R22" s="728"/>
      <c r="S22" s="730"/>
      <c r="T22" s="727">
        <f>入力シート!$BH$108</f>
        <v>0</v>
      </c>
      <c r="U22" s="728"/>
      <c r="V22" s="728"/>
      <c r="W22" s="728"/>
      <c r="X22" s="728"/>
      <c r="Y22" s="728"/>
      <c r="Z22" s="728"/>
      <c r="AA22" s="83">
        <f>SUM(F22:Z22)</f>
        <v>0</v>
      </c>
    </row>
    <row r="23" spans="1:31" customFormat="1" ht="26.25" customHeight="1" x14ac:dyDescent="0.2">
      <c r="A23" s="928"/>
      <c r="B23" s="929"/>
      <c r="C23" s="747"/>
      <c r="D23" s="748"/>
      <c r="E23" s="17" t="s">
        <v>59</v>
      </c>
      <c r="F23" s="727">
        <f>入力シート!$BH$110</f>
        <v>0</v>
      </c>
      <c r="G23" s="730"/>
      <c r="H23" s="727">
        <f>入力シート!$BH$112</f>
        <v>0</v>
      </c>
      <c r="I23" s="728"/>
      <c r="J23" s="730"/>
      <c r="K23" s="727">
        <f>入力シート!$BH$114</f>
        <v>0</v>
      </c>
      <c r="L23" s="728"/>
      <c r="M23" s="730"/>
      <c r="N23" s="727">
        <f>入力シート!$BH$116</f>
        <v>0</v>
      </c>
      <c r="O23" s="728"/>
      <c r="P23" s="730"/>
      <c r="Q23" s="727">
        <f>入力シート!$BH$118</f>
        <v>0</v>
      </c>
      <c r="R23" s="728"/>
      <c r="S23" s="730"/>
      <c r="T23" s="727">
        <f>入力シート!$BH$120</f>
        <v>0</v>
      </c>
      <c r="U23" s="728"/>
      <c r="V23" s="728"/>
      <c r="W23" s="728"/>
      <c r="X23" s="728"/>
      <c r="Y23" s="728"/>
      <c r="Z23" s="728"/>
      <c r="AA23" s="83">
        <f>SUM(F23:Z23)</f>
        <v>0</v>
      </c>
      <c r="AD23" s="3"/>
      <c r="AE23" s="3"/>
    </row>
    <row r="24" spans="1:31" customFormat="1" ht="26.25" customHeight="1" x14ac:dyDescent="0.2">
      <c r="A24" s="928"/>
      <c r="B24" s="929"/>
      <c r="C24" s="743" t="s">
        <v>65</v>
      </c>
      <c r="D24" s="744"/>
      <c r="E24" s="17" t="s">
        <v>55</v>
      </c>
      <c r="F24" s="737"/>
      <c r="G24" s="738"/>
      <c r="H24" s="727">
        <f>入力シート!$BI$88</f>
        <v>0</v>
      </c>
      <c r="I24" s="728"/>
      <c r="J24" s="730"/>
      <c r="K24" s="727">
        <f>入力シート!$BI$90</f>
        <v>0</v>
      </c>
      <c r="L24" s="728"/>
      <c r="M24" s="730"/>
      <c r="N24" s="729">
        <f>入力シート!$BI$92</f>
        <v>0</v>
      </c>
      <c r="O24" s="729"/>
      <c r="P24" s="729"/>
      <c r="Q24" s="729">
        <f>入力シート!$BI$94</f>
        <v>0</v>
      </c>
      <c r="R24" s="729"/>
      <c r="S24" s="729"/>
      <c r="T24" s="727">
        <f>入力シート!$BI$96</f>
        <v>0</v>
      </c>
      <c r="U24" s="728"/>
      <c r="V24" s="728"/>
      <c r="W24" s="728"/>
      <c r="X24" s="728"/>
      <c r="Y24" s="728"/>
      <c r="Z24" s="728"/>
      <c r="AA24" s="84">
        <f t="shared" ref="AA24:AA37" si="1">SUM(F24:Z24)</f>
        <v>0</v>
      </c>
      <c r="AD24" s="3"/>
      <c r="AE24" s="3"/>
    </row>
    <row r="25" spans="1:31" customFormat="1" ht="26.25" customHeight="1" x14ac:dyDescent="0.2">
      <c r="A25" s="928"/>
      <c r="B25" s="929"/>
      <c r="C25" s="745"/>
      <c r="D25" s="746"/>
      <c r="E25" s="17" t="s">
        <v>57</v>
      </c>
      <c r="F25" s="737"/>
      <c r="G25" s="738"/>
      <c r="H25" s="727">
        <f>入力シート!$BI$100</f>
        <v>0</v>
      </c>
      <c r="I25" s="728"/>
      <c r="J25" s="730"/>
      <c r="K25" s="727">
        <f>入力シート!$BI$102</f>
        <v>0</v>
      </c>
      <c r="L25" s="728"/>
      <c r="M25" s="730"/>
      <c r="N25" s="729">
        <f>入力シート!$BI$104</f>
        <v>0</v>
      </c>
      <c r="O25" s="729"/>
      <c r="P25" s="729"/>
      <c r="Q25" s="729">
        <f>入力シート!$BI$106</f>
        <v>0</v>
      </c>
      <c r="R25" s="729"/>
      <c r="S25" s="729"/>
      <c r="T25" s="727">
        <f>入力シート!$BI$108</f>
        <v>0</v>
      </c>
      <c r="U25" s="728"/>
      <c r="V25" s="728"/>
      <c r="W25" s="728"/>
      <c r="X25" s="728"/>
      <c r="Y25" s="728"/>
      <c r="Z25" s="728"/>
      <c r="AA25" s="84">
        <f t="shared" si="1"/>
        <v>0</v>
      </c>
      <c r="AD25" s="3"/>
      <c r="AE25" s="3"/>
    </row>
    <row r="26" spans="1:31" customFormat="1" ht="26.25" customHeight="1" x14ac:dyDescent="0.2">
      <c r="A26" s="928"/>
      <c r="B26" s="929"/>
      <c r="C26" s="747"/>
      <c r="D26" s="748"/>
      <c r="E26" s="17" t="s">
        <v>59</v>
      </c>
      <c r="F26" s="737"/>
      <c r="G26" s="738"/>
      <c r="H26" s="727">
        <f>入力シート!$BI$112</f>
        <v>0</v>
      </c>
      <c r="I26" s="728"/>
      <c r="J26" s="730"/>
      <c r="K26" s="727">
        <f>入力シート!$BI$114</f>
        <v>0</v>
      </c>
      <c r="L26" s="728"/>
      <c r="M26" s="730"/>
      <c r="N26" s="729">
        <f>入力シート!$BI$116</f>
        <v>0</v>
      </c>
      <c r="O26" s="729"/>
      <c r="P26" s="729"/>
      <c r="Q26" s="729">
        <f>入力シート!$BI$118</f>
        <v>0</v>
      </c>
      <c r="R26" s="729"/>
      <c r="S26" s="729"/>
      <c r="T26" s="727">
        <f>入力シート!$BI$120</f>
        <v>0</v>
      </c>
      <c r="U26" s="728"/>
      <c r="V26" s="728"/>
      <c r="W26" s="728"/>
      <c r="X26" s="728"/>
      <c r="Y26" s="728"/>
      <c r="Z26" s="728"/>
      <c r="AA26" s="84">
        <f t="shared" si="1"/>
        <v>0</v>
      </c>
    </row>
    <row r="27" spans="1:31" customFormat="1" ht="26.25" customHeight="1" x14ac:dyDescent="0.2">
      <c r="A27" s="928"/>
      <c r="B27" s="929"/>
      <c r="C27" s="743" t="s">
        <v>66</v>
      </c>
      <c r="D27" s="744"/>
      <c r="E27" s="17" t="s">
        <v>55</v>
      </c>
      <c r="F27" s="737"/>
      <c r="G27" s="738"/>
      <c r="H27" s="727">
        <f>入力シート!$BJ$88</f>
        <v>0</v>
      </c>
      <c r="I27" s="728"/>
      <c r="J27" s="730"/>
      <c r="K27" s="727">
        <f>入力シート!$BJ$90</f>
        <v>0</v>
      </c>
      <c r="L27" s="728"/>
      <c r="M27" s="730"/>
      <c r="N27" s="729">
        <f>入力シート!$BJ$92</f>
        <v>0</v>
      </c>
      <c r="O27" s="729"/>
      <c r="P27" s="729"/>
      <c r="Q27" s="729">
        <f>入力シート!$BJ$94</f>
        <v>0</v>
      </c>
      <c r="R27" s="729"/>
      <c r="S27" s="729"/>
      <c r="T27" s="727">
        <f>入力シート!$BJ$96</f>
        <v>0</v>
      </c>
      <c r="U27" s="728"/>
      <c r="V27" s="728"/>
      <c r="W27" s="728"/>
      <c r="X27" s="728"/>
      <c r="Y27" s="728"/>
      <c r="Z27" s="728"/>
      <c r="AA27" s="84">
        <f t="shared" si="1"/>
        <v>0</v>
      </c>
    </row>
    <row r="28" spans="1:31" customFormat="1" ht="26.25" customHeight="1" x14ac:dyDescent="0.2">
      <c r="A28" s="928"/>
      <c r="B28" s="929"/>
      <c r="C28" s="747"/>
      <c r="D28" s="748"/>
      <c r="E28" s="17" t="s">
        <v>59</v>
      </c>
      <c r="F28" s="737"/>
      <c r="G28" s="738"/>
      <c r="H28" s="727">
        <f>入力シート!$BJ$112</f>
        <v>0</v>
      </c>
      <c r="I28" s="728"/>
      <c r="J28" s="730"/>
      <c r="K28" s="727">
        <f>入力シート!$BJ$114</f>
        <v>0</v>
      </c>
      <c r="L28" s="728"/>
      <c r="M28" s="730"/>
      <c r="N28" s="729">
        <f>入力シート!$BJ$116</f>
        <v>0</v>
      </c>
      <c r="O28" s="729"/>
      <c r="P28" s="729"/>
      <c r="Q28" s="729">
        <f>入力シート!$BJ$118</f>
        <v>0</v>
      </c>
      <c r="R28" s="729"/>
      <c r="S28" s="729"/>
      <c r="T28" s="727">
        <f>入力シート!$BJ$120</f>
        <v>0</v>
      </c>
      <c r="U28" s="728"/>
      <c r="V28" s="728"/>
      <c r="W28" s="728"/>
      <c r="X28" s="728"/>
      <c r="Y28" s="728"/>
      <c r="Z28" s="728"/>
      <c r="AA28" s="84">
        <f t="shared" si="1"/>
        <v>0</v>
      </c>
    </row>
    <row r="29" spans="1:31" customFormat="1" ht="26.25" customHeight="1" x14ac:dyDescent="0.2">
      <c r="A29" s="928"/>
      <c r="B29" s="929"/>
      <c r="C29" s="743" t="s">
        <v>69</v>
      </c>
      <c r="D29" s="744"/>
      <c r="E29" s="17" t="s">
        <v>55</v>
      </c>
      <c r="F29" s="737"/>
      <c r="G29" s="738"/>
      <c r="H29" s="727">
        <f>入力シート!$BK$88</f>
        <v>0</v>
      </c>
      <c r="I29" s="728"/>
      <c r="J29" s="730"/>
      <c r="K29" s="727">
        <f>入力シート!$BK$90</f>
        <v>0</v>
      </c>
      <c r="L29" s="728"/>
      <c r="M29" s="730"/>
      <c r="N29" s="729">
        <f>入力シート!$BK$92</f>
        <v>0</v>
      </c>
      <c r="O29" s="729"/>
      <c r="P29" s="729"/>
      <c r="Q29" s="729">
        <f>入力シート!$BK$94</f>
        <v>0</v>
      </c>
      <c r="R29" s="729"/>
      <c r="S29" s="729"/>
      <c r="T29" s="727">
        <f>入力シート!$BK$96</f>
        <v>0</v>
      </c>
      <c r="U29" s="728"/>
      <c r="V29" s="728"/>
      <c r="W29" s="728"/>
      <c r="X29" s="728"/>
      <c r="Y29" s="728"/>
      <c r="Z29" s="728"/>
      <c r="AA29" s="83">
        <f t="shared" ref="AA29:AA34" si="2">SUM(F29:Z29)</f>
        <v>0</v>
      </c>
    </row>
    <row r="30" spans="1:31" customFormat="1" ht="26.25" customHeight="1" x14ac:dyDescent="0.2">
      <c r="A30" s="928"/>
      <c r="B30" s="929"/>
      <c r="C30" s="745"/>
      <c r="D30" s="746"/>
      <c r="E30" s="17" t="s">
        <v>57</v>
      </c>
      <c r="F30" s="737"/>
      <c r="G30" s="738"/>
      <c r="H30" s="727">
        <f>入力シート!$BK$100</f>
        <v>0</v>
      </c>
      <c r="I30" s="728"/>
      <c r="J30" s="730"/>
      <c r="K30" s="727">
        <f>入力シート!$BK$102</f>
        <v>0</v>
      </c>
      <c r="L30" s="728"/>
      <c r="M30" s="730"/>
      <c r="N30" s="729">
        <f>入力シート!$BK$104</f>
        <v>0</v>
      </c>
      <c r="O30" s="729"/>
      <c r="P30" s="729"/>
      <c r="Q30" s="729">
        <f>入力シート!$BK$106</f>
        <v>0</v>
      </c>
      <c r="R30" s="729"/>
      <c r="S30" s="729"/>
      <c r="T30" s="727">
        <f>入力シート!$BK$108</f>
        <v>0</v>
      </c>
      <c r="U30" s="728"/>
      <c r="V30" s="728"/>
      <c r="W30" s="728"/>
      <c r="X30" s="728"/>
      <c r="Y30" s="728"/>
      <c r="Z30" s="728"/>
      <c r="AA30" s="84">
        <f t="shared" si="2"/>
        <v>0</v>
      </c>
    </row>
    <row r="31" spans="1:31" customFormat="1" ht="26.25" customHeight="1" x14ac:dyDescent="0.2">
      <c r="A31" s="928"/>
      <c r="B31" s="929"/>
      <c r="C31" s="747"/>
      <c r="D31" s="748"/>
      <c r="E31" s="17" t="s">
        <v>59</v>
      </c>
      <c r="F31" s="737"/>
      <c r="G31" s="738"/>
      <c r="H31" s="727">
        <f>入力シート!$BK$112</f>
        <v>0</v>
      </c>
      <c r="I31" s="728"/>
      <c r="J31" s="730"/>
      <c r="K31" s="727">
        <f>入力シート!$BK$114</f>
        <v>0</v>
      </c>
      <c r="L31" s="728"/>
      <c r="M31" s="730"/>
      <c r="N31" s="727">
        <f>入力シート!$BK$116</f>
        <v>0</v>
      </c>
      <c r="O31" s="728"/>
      <c r="P31" s="730"/>
      <c r="Q31" s="727">
        <f>入力シート!$BK$118</f>
        <v>0</v>
      </c>
      <c r="R31" s="728"/>
      <c r="S31" s="730"/>
      <c r="T31" s="727">
        <f>入力シート!$BK$120</f>
        <v>0</v>
      </c>
      <c r="U31" s="728"/>
      <c r="V31" s="728"/>
      <c r="W31" s="728"/>
      <c r="X31" s="728"/>
      <c r="Y31" s="728"/>
      <c r="Z31" s="728"/>
      <c r="AA31" s="83">
        <f t="shared" si="2"/>
        <v>0</v>
      </c>
    </row>
    <row r="32" spans="1:31" customFormat="1" ht="26.25" customHeight="1" x14ac:dyDescent="0.2">
      <c r="A32" s="928"/>
      <c r="B32" s="929"/>
      <c r="C32" s="745" t="s">
        <v>68</v>
      </c>
      <c r="D32" s="746"/>
      <c r="E32" s="20" t="s">
        <v>55</v>
      </c>
      <c r="F32" s="852"/>
      <c r="G32" s="853"/>
      <c r="H32" s="727">
        <f>入力シート!$BL$88</f>
        <v>0</v>
      </c>
      <c r="I32" s="728"/>
      <c r="J32" s="730"/>
      <c r="K32" s="727">
        <f>入力シート!$BL$90</f>
        <v>0</v>
      </c>
      <c r="L32" s="728"/>
      <c r="M32" s="730"/>
      <c r="N32" s="729">
        <f>入力シート!$BL$92</f>
        <v>0</v>
      </c>
      <c r="O32" s="729"/>
      <c r="P32" s="729"/>
      <c r="Q32" s="729">
        <f>入力シート!$BL$94</f>
        <v>0</v>
      </c>
      <c r="R32" s="729"/>
      <c r="S32" s="729"/>
      <c r="T32" s="727">
        <f>入力シート!$BL$96</f>
        <v>0</v>
      </c>
      <c r="U32" s="728"/>
      <c r="V32" s="728"/>
      <c r="W32" s="728"/>
      <c r="X32" s="728"/>
      <c r="Y32" s="728"/>
      <c r="Z32" s="728"/>
      <c r="AA32" s="84">
        <f t="shared" si="2"/>
        <v>0</v>
      </c>
    </row>
    <row r="33" spans="1:32" customFormat="1" ht="26.25" customHeight="1" x14ac:dyDescent="0.2">
      <c r="A33" s="928"/>
      <c r="B33" s="929"/>
      <c r="C33" s="745"/>
      <c r="D33" s="746"/>
      <c r="E33" s="17" t="s">
        <v>57</v>
      </c>
      <c r="F33" s="737"/>
      <c r="G33" s="738"/>
      <c r="H33" s="727">
        <f>入力シート!$BL$100</f>
        <v>0</v>
      </c>
      <c r="I33" s="728"/>
      <c r="J33" s="730"/>
      <c r="K33" s="727">
        <f>入力シート!$BL$102</f>
        <v>0</v>
      </c>
      <c r="L33" s="728"/>
      <c r="M33" s="730"/>
      <c r="N33" s="729">
        <f>入力シート!$BL$104</f>
        <v>0</v>
      </c>
      <c r="O33" s="729"/>
      <c r="P33" s="729"/>
      <c r="Q33" s="729">
        <f>入力シート!$BL$106</f>
        <v>0</v>
      </c>
      <c r="R33" s="729"/>
      <c r="S33" s="729"/>
      <c r="T33" s="727">
        <f>入力シート!$BL$108</f>
        <v>0</v>
      </c>
      <c r="U33" s="728"/>
      <c r="V33" s="728"/>
      <c r="W33" s="728"/>
      <c r="X33" s="728"/>
      <c r="Y33" s="728"/>
      <c r="Z33" s="728"/>
      <c r="AA33" s="84">
        <f t="shared" si="2"/>
        <v>0</v>
      </c>
    </row>
    <row r="34" spans="1:32" customFormat="1" ht="26.25" customHeight="1" thickBot="1" x14ac:dyDescent="0.25">
      <c r="A34" s="928"/>
      <c r="B34" s="929"/>
      <c r="C34" s="747"/>
      <c r="D34" s="748"/>
      <c r="E34" s="17" t="s">
        <v>59</v>
      </c>
      <c r="F34" s="737"/>
      <c r="G34" s="738"/>
      <c r="H34" s="727">
        <f>入力シート!$BL$112</f>
        <v>0</v>
      </c>
      <c r="I34" s="728"/>
      <c r="J34" s="730"/>
      <c r="K34" s="727">
        <f>入力シート!$BL$114</f>
        <v>0</v>
      </c>
      <c r="L34" s="728"/>
      <c r="M34" s="730"/>
      <c r="N34" s="727">
        <f>入力シート!$BL$116</f>
        <v>0</v>
      </c>
      <c r="O34" s="728"/>
      <c r="P34" s="730"/>
      <c r="Q34" s="727">
        <f>入力シート!$BL$118</f>
        <v>0</v>
      </c>
      <c r="R34" s="728"/>
      <c r="S34" s="730"/>
      <c r="T34" s="727">
        <f>入力シート!$BL$120</f>
        <v>0</v>
      </c>
      <c r="U34" s="728"/>
      <c r="V34" s="728"/>
      <c r="W34" s="728"/>
      <c r="X34" s="728"/>
      <c r="Y34" s="728"/>
      <c r="Z34" s="728"/>
      <c r="AA34" s="84">
        <f t="shared" si="2"/>
        <v>0</v>
      </c>
    </row>
    <row r="35" spans="1:32" customFormat="1" ht="26.25" customHeight="1" thickTop="1" x14ac:dyDescent="0.2">
      <c r="A35" s="928"/>
      <c r="B35" s="929"/>
      <c r="C35" s="743" t="s">
        <v>67</v>
      </c>
      <c r="D35" s="744"/>
      <c r="E35" s="17" t="s">
        <v>55</v>
      </c>
      <c r="F35" s="737"/>
      <c r="G35" s="738"/>
      <c r="H35" s="727">
        <f>入力シート!$BR$88</f>
        <v>0</v>
      </c>
      <c r="I35" s="728"/>
      <c r="J35" s="730"/>
      <c r="K35" s="727">
        <f>入力シート!$BR$90</f>
        <v>0</v>
      </c>
      <c r="L35" s="728"/>
      <c r="M35" s="730"/>
      <c r="N35" s="729">
        <f>入力シート!$BR$92</f>
        <v>0</v>
      </c>
      <c r="O35" s="729"/>
      <c r="P35" s="729"/>
      <c r="Q35" s="729">
        <f>入力シート!$BR$94</f>
        <v>0</v>
      </c>
      <c r="R35" s="729"/>
      <c r="S35" s="729"/>
      <c r="T35" s="727">
        <f>入力シート!$BR$96</f>
        <v>0</v>
      </c>
      <c r="U35" s="728"/>
      <c r="V35" s="728"/>
      <c r="W35" s="728"/>
      <c r="X35" s="728"/>
      <c r="Y35" s="728"/>
      <c r="Z35" s="728"/>
      <c r="AA35" s="83">
        <f t="shared" si="1"/>
        <v>0</v>
      </c>
      <c r="AC35" s="753" t="s">
        <v>74</v>
      </c>
      <c r="AD35" s="754"/>
    </row>
    <row r="36" spans="1:32" customFormat="1" ht="26.25" customHeight="1" x14ac:dyDescent="0.2">
      <c r="A36" s="928"/>
      <c r="B36" s="929"/>
      <c r="C36" s="745"/>
      <c r="D36" s="746"/>
      <c r="E36" s="17" t="s">
        <v>57</v>
      </c>
      <c r="F36" s="737"/>
      <c r="G36" s="738"/>
      <c r="H36" s="727">
        <f>入力シート!$BR$100</f>
        <v>0</v>
      </c>
      <c r="I36" s="728"/>
      <c r="J36" s="730"/>
      <c r="K36" s="727">
        <f>入力シート!$BR$102</f>
        <v>0</v>
      </c>
      <c r="L36" s="728"/>
      <c r="M36" s="730"/>
      <c r="N36" s="729">
        <f>入力シート!$BR$104</f>
        <v>0</v>
      </c>
      <c r="O36" s="729"/>
      <c r="P36" s="729"/>
      <c r="Q36" s="729">
        <f>入力シート!$BR$106</f>
        <v>0</v>
      </c>
      <c r="R36" s="729"/>
      <c r="S36" s="729"/>
      <c r="T36" s="727">
        <f>入力シート!$BR$108</f>
        <v>0</v>
      </c>
      <c r="U36" s="728"/>
      <c r="V36" s="728"/>
      <c r="W36" s="728"/>
      <c r="X36" s="728"/>
      <c r="Y36" s="728"/>
      <c r="Z36" s="728"/>
      <c r="AA36" s="84">
        <f t="shared" si="1"/>
        <v>0</v>
      </c>
      <c r="AC36" s="767">
        <f>SUM(AA20:AA37)</f>
        <v>0</v>
      </c>
      <c r="AD36" s="768"/>
    </row>
    <row r="37" spans="1:32" customFormat="1" ht="26.25" customHeight="1" thickBot="1" x14ac:dyDescent="0.25">
      <c r="A37" s="930"/>
      <c r="B37" s="931"/>
      <c r="C37" s="764"/>
      <c r="D37" s="765"/>
      <c r="E37" s="31" t="s">
        <v>59</v>
      </c>
      <c r="F37" s="854"/>
      <c r="G37" s="855"/>
      <c r="H37" s="739">
        <f>入力シート!$BR$112</f>
        <v>0</v>
      </c>
      <c r="I37" s="740"/>
      <c r="J37" s="741"/>
      <c r="K37" s="739">
        <f>入力シート!$BR$114</f>
        <v>0</v>
      </c>
      <c r="L37" s="740"/>
      <c r="M37" s="741"/>
      <c r="N37" s="829">
        <f>入力シート!$BR$116</f>
        <v>0</v>
      </c>
      <c r="O37" s="829"/>
      <c r="P37" s="829"/>
      <c r="Q37" s="829">
        <f>入力シート!$BR$118</f>
        <v>0</v>
      </c>
      <c r="R37" s="829"/>
      <c r="S37" s="829"/>
      <c r="T37" s="739">
        <f>入力シート!$BR$120</f>
        <v>0</v>
      </c>
      <c r="U37" s="740"/>
      <c r="V37" s="740"/>
      <c r="W37" s="740"/>
      <c r="X37" s="740"/>
      <c r="Y37" s="740"/>
      <c r="Z37" s="740"/>
      <c r="AA37" s="85">
        <f t="shared" si="1"/>
        <v>0</v>
      </c>
      <c r="AC37" s="769"/>
      <c r="AD37" s="770"/>
    </row>
    <row r="38" spans="1:32" ht="30" customHeight="1" thickBot="1" x14ac:dyDescent="0.25">
      <c r="W38" s="751" t="s">
        <v>34</v>
      </c>
      <c r="X38" s="752"/>
      <c r="Y38" s="824">
        <f>団体情報・入力の仕方!G40</f>
        <v>0</v>
      </c>
      <c r="Z38" s="825"/>
      <c r="AA38" s="826"/>
    </row>
    <row r="39" spans="1:32" customFormat="1" ht="12" customHeight="1" thickBot="1" x14ac:dyDescent="0.25">
      <c r="C39" s="1"/>
      <c r="D39" s="1"/>
      <c r="E39" s="1"/>
    </row>
    <row r="40" spans="1:32" customFormat="1" ht="20.25" customHeight="1" x14ac:dyDescent="0.2">
      <c r="E40" s="2"/>
      <c r="F40" s="856" t="s">
        <v>62</v>
      </c>
      <c r="G40" s="857"/>
      <c r="H40" s="742" t="s">
        <v>28</v>
      </c>
      <c r="I40" s="742"/>
      <c r="J40" s="742"/>
      <c r="K40" s="742" t="s">
        <v>29</v>
      </c>
      <c r="L40" s="742"/>
      <c r="M40" s="742"/>
      <c r="N40" s="742" t="s">
        <v>30</v>
      </c>
      <c r="O40" s="742"/>
      <c r="P40" s="742"/>
      <c r="Q40" s="742" t="s">
        <v>31</v>
      </c>
      <c r="R40" s="742"/>
      <c r="S40" s="742"/>
      <c r="T40" s="742" t="s">
        <v>825</v>
      </c>
      <c r="U40" s="742"/>
      <c r="V40" s="742"/>
      <c r="W40" s="742" t="s">
        <v>819</v>
      </c>
      <c r="X40" s="742"/>
      <c r="Y40" s="742"/>
      <c r="Z40" s="863"/>
      <c r="AA40" s="827" t="s">
        <v>38</v>
      </c>
      <c r="AB40" s="3"/>
      <c r="AD40" s="3"/>
      <c r="AE40" s="3"/>
    </row>
    <row r="41" spans="1:32" customFormat="1" ht="20.25" customHeight="1" thickBot="1" x14ac:dyDescent="0.25">
      <c r="E41" s="308"/>
      <c r="F41" s="858"/>
      <c r="G41" s="859"/>
      <c r="H41" s="802" t="s">
        <v>820</v>
      </c>
      <c r="I41" s="802"/>
      <c r="J41" s="802"/>
      <c r="K41" s="802"/>
      <c r="L41" s="802"/>
      <c r="M41" s="802"/>
      <c r="N41" s="915" t="s">
        <v>822</v>
      </c>
      <c r="O41" s="916"/>
      <c r="P41" s="932"/>
      <c r="Q41" s="915" t="s">
        <v>823</v>
      </c>
      <c r="R41" s="916"/>
      <c r="S41" s="932"/>
      <c r="T41" s="802" t="s">
        <v>821</v>
      </c>
      <c r="U41" s="802"/>
      <c r="V41" s="802"/>
      <c r="W41" s="803"/>
      <c r="X41" s="803"/>
      <c r="Y41" s="803"/>
      <c r="Z41" s="804"/>
      <c r="AA41" s="828"/>
      <c r="AB41" s="3"/>
      <c r="AD41" s="3"/>
      <c r="AE41" s="3"/>
    </row>
    <row r="42" spans="1:32" customFormat="1" ht="26.25" customHeight="1" x14ac:dyDescent="0.2">
      <c r="A42" s="708" t="s">
        <v>70</v>
      </c>
      <c r="B42" s="922"/>
      <c r="C42" s="749" t="s">
        <v>21</v>
      </c>
      <c r="D42" s="884"/>
      <c r="E42" s="20" t="s">
        <v>22</v>
      </c>
      <c r="F42" s="852"/>
      <c r="G42" s="853"/>
      <c r="H42" s="782">
        <f>入力シート!$BV$73</f>
        <v>0</v>
      </c>
      <c r="I42" s="782"/>
      <c r="J42" s="782"/>
      <c r="K42" s="782">
        <f>入力シート!$BV$74</f>
        <v>0</v>
      </c>
      <c r="L42" s="782"/>
      <c r="M42" s="782"/>
      <c r="N42" s="782">
        <f>入力シート!$BV$75</f>
        <v>0</v>
      </c>
      <c r="O42" s="782"/>
      <c r="P42" s="782"/>
      <c r="Q42" s="782">
        <f>入力シート!$BV$76</f>
        <v>0</v>
      </c>
      <c r="R42" s="782"/>
      <c r="S42" s="782"/>
      <c r="T42" s="782">
        <f>入力シート!$BV$77</f>
        <v>0</v>
      </c>
      <c r="U42" s="782"/>
      <c r="V42" s="782"/>
      <c r="W42" s="782">
        <f>入力シート!$BV$78</f>
        <v>0</v>
      </c>
      <c r="X42" s="782"/>
      <c r="Y42" s="782"/>
      <c r="Z42" s="782"/>
      <c r="AA42" s="823">
        <f>SUM(H42:Z42,H43:Z43)</f>
        <v>0</v>
      </c>
      <c r="AB42" s="3"/>
      <c r="AF42" s="3"/>
    </row>
    <row r="43" spans="1:32" customFormat="1" ht="26.25" customHeight="1" x14ac:dyDescent="0.2">
      <c r="A43" s="923"/>
      <c r="B43" s="924"/>
      <c r="C43" s="885"/>
      <c r="D43" s="886"/>
      <c r="E43" s="20" t="s">
        <v>502</v>
      </c>
      <c r="F43" s="844"/>
      <c r="G43" s="845"/>
      <c r="H43" s="786">
        <f>入力シート!$BV$79</f>
        <v>0</v>
      </c>
      <c r="I43" s="786"/>
      <c r="J43" s="786"/>
      <c r="K43" s="786"/>
      <c r="L43" s="786"/>
      <c r="M43" s="786"/>
      <c r="N43" s="783">
        <f>入力シート!$BV$80</f>
        <v>0</v>
      </c>
      <c r="O43" s="784"/>
      <c r="P43" s="785"/>
      <c r="Q43" s="783">
        <f>入力シート!$BV$81</f>
        <v>0</v>
      </c>
      <c r="R43" s="784"/>
      <c r="S43" s="785"/>
      <c r="T43" s="809">
        <f>入力シート!$BV$82</f>
        <v>0</v>
      </c>
      <c r="U43" s="810"/>
      <c r="V43" s="810"/>
      <c r="W43" s="810"/>
      <c r="X43" s="810"/>
      <c r="Y43" s="810"/>
      <c r="Z43" s="811"/>
      <c r="AA43" s="843"/>
      <c r="AB43" s="3"/>
      <c r="AD43" s="3"/>
      <c r="AE43" s="3"/>
      <c r="AF43" s="3"/>
    </row>
    <row r="44" spans="1:32" customFormat="1" ht="26.25" customHeight="1" x14ac:dyDescent="0.2">
      <c r="A44" s="923"/>
      <c r="B44" s="924"/>
      <c r="C44" s="891" t="s">
        <v>329</v>
      </c>
      <c r="D44" s="892"/>
      <c r="E44" s="20" t="s">
        <v>22</v>
      </c>
      <c r="F44" s="852"/>
      <c r="G44" s="853"/>
      <c r="H44" s="786">
        <f>入力シート!$BX$74</f>
        <v>0</v>
      </c>
      <c r="I44" s="786"/>
      <c r="J44" s="786"/>
      <c r="K44" s="786"/>
      <c r="L44" s="786"/>
      <c r="M44" s="786"/>
      <c r="N44" s="783">
        <f>入力シート!$BX$75</f>
        <v>0</v>
      </c>
      <c r="O44" s="784"/>
      <c r="P44" s="785"/>
      <c r="Q44" s="783">
        <f>入力シート!$BX$76</f>
        <v>0</v>
      </c>
      <c r="R44" s="784"/>
      <c r="S44" s="785"/>
      <c r="T44" s="809">
        <f>入力シート!$BX$77</f>
        <v>0</v>
      </c>
      <c r="U44" s="810"/>
      <c r="V44" s="811"/>
      <c r="W44" s="809">
        <f>入力シート!$BX$78</f>
        <v>0</v>
      </c>
      <c r="X44" s="810"/>
      <c r="Y44" s="810"/>
      <c r="Z44" s="811"/>
      <c r="AA44" s="819">
        <f>SUM(H44:Z44,H45:Z45)</f>
        <v>0</v>
      </c>
      <c r="AB44" s="3"/>
      <c r="AC44" s="3"/>
      <c r="AD44" s="3"/>
      <c r="AE44" s="3"/>
      <c r="AF44" s="3"/>
    </row>
    <row r="45" spans="1:32" customFormat="1" ht="26.25" customHeight="1" x14ac:dyDescent="0.2">
      <c r="A45" s="923"/>
      <c r="B45" s="924"/>
      <c r="C45" s="887"/>
      <c r="D45" s="888"/>
      <c r="E45" s="20" t="s">
        <v>502</v>
      </c>
      <c r="F45" s="844"/>
      <c r="G45" s="845"/>
      <c r="H45" s="786">
        <f>入力シート!$BX$79</f>
        <v>0</v>
      </c>
      <c r="I45" s="786"/>
      <c r="J45" s="786"/>
      <c r="K45" s="786"/>
      <c r="L45" s="786"/>
      <c r="M45" s="786"/>
      <c r="N45" s="783">
        <f>入力シート!$BX$80</f>
        <v>0</v>
      </c>
      <c r="O45" s="784"/>
      <c r="P45" s="785"/>
      <c r="Q45" s="783">
        <f>入力シート!$BX$81</f>
        <v>0</v>
      </c>
      <c r="R45" s="784"/>
      <c r="S45" s="785"/>
      <c r="T45" s="809">
        <f>入力シート!$BX$82</f>
        <v>0</v>
      </c>
      <c r="U45" s="810"/>
      <c r="V45" s="810"/>
      <c r="W45" s="810"/>
      <c r="X45" s="810"/>
      <c r="Y45" s="810"/>
      <c r="Z45" s="811"/>
      <c r="AA45" s="820"/>
      <c r="AB45" s="3"/>
      <c r="AC45" s="3"/>
      <c r="AD45" s="3"/>
    </row>
    <row r="46" spans="1:32" customFormat="1" ht="26.25" customHeight="1" x14ac:dyDescent="0.2">
      <c r="A46" s="923"/>
      <c r="B46" s="924"/>
      <c r="C46" s="885" t="s">
        <v>333</v>
      </c>
      <c r="D46" s="886"/>
      <c r="E46" s="20" t="s">
        <v>22</v>
      </c>
      <c r="F46" s="852"/>
      <c r="G46" s="853"/>
      <c r="H46" s="786">
        <f>入力シート!$BZ$74</f>
        <v>0</v>
      </c>
      <c r="I46" s="786"/>
      <c r="J46" s="786"/>
      <c r="K46" s="786"/>
      <c r="L46" s="786"/>
      <c r="M46" s="786"/>
      <c r="N46" s="783">
        <f>入力シート!$BZ$75</f>
        <v>0</v>
      </c>
      <c r="O46" s="784"/>
      <c r="P46" s="785"/>
      <c r="Q46" s="783">
        <f>入力シート!$BZ$76</f>
        <v>0</v>
      </c>
      <c r="R46" s="784"/>
      <c r="S46" s="785"/>
      <c r="T46" s="809">
        <f>入力シート!$BZ$77</f>
        <v>0</v>
      </c>
      <c r="U46" s="810"/>
      <c r="V46" s="811"/>
      <c r="W46" s="809">
        <f>入力シート!$BZ$78</f>
        <v>0</v>
      </c>
      <c r="X46" s="810"/>
      <c r="Y46" s="810"/>
      <c r="Z46" s="811"/>
      <c r="AA46" s="819">
        <f>SUM(H46:Z46,H47:Z47)</f>
        <v>0</v>
      </c>
      <c r="AB46" s="3"/>
      <c r="AC46" s="3"/>
      <c r="AD46" s="3"/>
      <c r="AE46" s="3"/>
      <c r="AF46" s="3"/>
    </row>
    <row r="47" spans="1:32" customFormat="1" ht="26.25" customHeight="1" thickBot="1" x14ac:dyDescent="0.25">
      <c r="A47" s="923"/>
      <c r="B47" s="924"/>
      <c r="C47" s="887"/>
      <c r="D47" s="888"/>
      <c r="E47" s="20" t="s">
        <v>502</v>
      </c>
      <c r="F47" s="844"/>
      <c r="G47" s="845"/>
      <c r="H47" s="786">
        <f>入力シート!$BZ$79</f>
        <v>0</v>
      </c>
      <c r="I47" s="786"/>
      <c r="J47" s="786"/>
      <c r="K47" s="786"/>
      <c r="L47" s="786"/>
      <c r="M47" s="786"/>
      <c r="N47" s="783">
        <f>入力シート!$BZ$80</f>
        <v>0</v>
      </c>
      <c r="O47" s="784"/>
      <c r="P47" s="785"/>
      <c r="Q47" s="783">
        <f>入力シート!$BZ$81</f>
        <v>0</v>
      </c>
      <c r="R47" s="784"/>
      <c r="S47" s="785"/>
      <c r="T47" s="809">
        <f>入力シート!$BZ$82</f>
        <v>0</v>
      </c>
      <c r="U47" s="810"/>
      <c r="V47" s="810"/>
      <c r="W47" s="810"/>
      <c r="X47" s="810"/>
      <c r="Y47" s="810"/>
      <c r="Z47" s="811"/>
      <c r="AA47" s="820"/>
      <c r="AB47" s="3"/>
      <c r="AE47" s="3"/>
      <c r="AF47" s="3"/>
    </row>
    <row r="48" spans="1:32" customFormat="1" ht="26.25" customHeight="1" thickTop="1" x14ac:dyDescent="0.2">
      <c r="A48" s="923"/>
      <c r="B48" s="924"/>
      <c r="C48" s="874" t="s">
        <v>330</v>
      </c>
      <c r="D48" s="875"/>
      <c r="E48" s="18"/>
      <c r="F48" s="737"/>
      <c r="G48" s="738"/>
      <c r="H48" s="786">
        <f>入力シート!$CB$74</f>
        <v>0</v>
      </c>
      <c r="I48" s="786"/>
      <c r="J48" s="786"/>
      <c r="K48" s="786"/>
      <c r="L48" s="786"/>
      <c r="M48" s="786"/>
      <c r="N48" s="809">
        <f>入力シート!$CB$75</f>
        <v>0</v>
      </c>
      <c r="O48" s="810"/>
      <c r="P48" s="811"/>
      <c r="Q48" s="809">
        <f>入力シート!$CB$76</f>
        <v>0</v>
      </c>
      <c r="R48" s="810"/>
      <c r="S48" s="811"/>
      <c r="T48" s="809">
        <f>入力シート!$CB$77</f>
        <v>0</v>
      </c>
      <c r="U48" s="810"/>
      <c r="V48" s="811"/>
      <c r="W48" s="809">
        <f>入力シート!$CB$78</f>
        <v>0</v>
      </c>
      <c r="X48" s="810"/>
      <c r="Y48" s="810"/>
      <c r="Z48" s="811"/>
      <c r="AA48" s="330">
        <f>SUM(H48:Z48)</f>
        <v>0</v>
      </c>
      <c r="AB48" s="3"/>
      <c r="AC48" s="753" t="s">
        <v>75</v>
      </c>
      <c r="AD48" s="754"/>
      <c r="AE48" s="3"/>
      <c r="AF48" s="3"/>
    </row>
    <row r="49" spans="1:30" customFormat="1" ht="26.25" customHeight="1" x14ac:dyDescent="0.2">
      <c r="A49" s="923"/>
      <c r="B49" s="924"/>
      <c r="C49" s="887" t="s">
        <v>331</v>
      </c>
      <c r="D49" s="888"/>
      <c r="E49" s="66"/>
      <c r="F49" s="852"/>
      <c r="G49" s="853"/>
      <c r="H49" s="786">
        <f>入力シート!$CD$74</f>
        <v>0</v>
      </c>
      <c r="I49" s="786"/>
      <c r="J49" s="786"/>
      <c r="K49" s="786"/>
      <c r="L49" s="786"/>
      <c r="M49" s="786"/>
      <c r="N49" s="809">
        <f>入力シート!$CD$75</f>
        <v>0</v>
      </c>
      <c r="O49" s="810"/>
      <c r="P49" s="811"/>
      <c r="Q49" s="809">
        <f>入力シート!$CD$76</f>
        <v>0</v>
      </c>
      <c r="R49" s="810"/>
      <c r="S49" s="811"/>
      <c r="T49" s="809">
        <f>入力シート!$CD$77</f>
        <v>0</v>
      </c>
      <c r="U49" s="810"/>
      <c r="V49" s="811"/>
      <c r="W49" s="809">
        <f>入力シート!$CD$78</f>
        <v>0</v>
      </c>
      <c r="X49" s="810"/>
      <c r="Y49" s="810"/>
      <c r="Z49" s="811"/>
      <c r="AA49" s="331">
        <f>SUM(H49:Z49)</f>
        <v>0</v>
      </c>
      <c r="AB49" s="3"/>
      <c r="AC49" s="767">
        <f>SUM(AA42:AA53)</f>
        <v>0</v>
      </c>
      <c r="AD49" s="768"/>
    </row>
    <row r="50" spans="1:30" customFormat="1" ht="26.25" customHeight="1" thickBot="1" x14ac:dyDescent="0.25">
      <c r="A50" s="925"/>
      <c r="B50" s="926"/>
      <c r="C50" s="889" t="s">
        <v>332</v>
      </c>
      <c r="D50" s="890"/>
      <c r="E50" s="329"/>
      <c r="F50" s="854"/>
      <c r="G50" s="855"/>
      <c r="H50" s="793">
        <f>入力シート!$CL$74</f>
        <v>0</v>
      </c>
      <c r="I50" s="793"/>
      <c r="J50" s="793"/>
      <c r="K50" s="793"/>
      <c r="L50" s="793"/>
      <c r="M50" s="793"/>
      <c r="N50" s="793">
        <f>入力シート!$CL$75</f>
        <v>0</v>
      </c>
      <c r="O50" s="793"/>
      <c r="P50" s="793"/>
      <c r="Q50" s="860">
        <f>入力シート!$CL$76</f>
        <v>0</v>
      </c>
      <c r="R50" s="861"/>
      <c r="S50" s="862"/>
      <c r="T50" s="860">
        <f>入力シート!$CL$77</f>
        <v>0</v>
      </c>
      <c r="U50" s="861"/>
      <c r="V50" s="862"/>
      <c r="W50" s="860">
        <f>入力シート!$CL$78</f>
        <v>0</v>
      </c>
      <c r="X50" s="861"/>
      <c r="Y50" s="861"/>
      <c r="Z50" s="862"/>
      <c r="AA50" s="337">
        <f>SUM(H50:Z50)</f>
        <v>0</v>
      </c>
      <c r="AB50" s="3"/>
      <c r="AC50" s="769"/>
      <c r="AD50" s="770"/>
    </row>
    <row r="51" spans="1:30" customFormat="1" ht="5.25" customHeight="1" thickBot="1" x14ac:dyDescent="0.25">
      <c r="AC51" s="3"/>
      <c r="AD51" s="3"/>
    </row>
    <row r="52" spans="1:30" customFormat="1" ht="21" hidden="1" customHeight="1" thickBot="1" x14ac:dyDescent="0.25">
      <c r="F52" s="872" t="s">
        <v>62</v>
      </c>
      <c r="G52" s="873"/>
      <c r="H52" s="882"/>
      <c r="I52" s="882"/>
      <c r="J52" s="882"/>
      <c r="K52" s="882"/>
      <c r="L52" s="882"/>
      <c r="M52" s="882"/>
      <c r="N52" s="787" t="s">
        <v>716</v>
      </c>
      <c r="O52" s="787"/>
      <c r="P52" s="787"/>
      <c r="Q52" s="787"/>
      <c r="R52" s="787"/>
      <c r="S52" s="787"/>
      <c r="T52" s="787" t="s">
        <v>717</v>
      </c>
      <c r="U52" s="787"/>
      <c r="V52" s="787"/>
      <c r="W52" s="787"/>
      <c r="X52" s="787"/>
      <c r="Y52" s="787"/>
      <c r="Z52" s="788"/>
      <c r="AA52" s="405" t="s">
        <v>38</v>
      </c>
      <c r="AC52" s="3"/>
      <c r="AD52" s="3"/>
    </row>
    <row r="53" spans="1:30" customFormat="1" ht="26.25" hidden="1" customHeight="1" thickTop="1" thickBot="1" x14ac:dyDescent="0.25">
      <c r="A53" s="869" t="s">
        <v>604</v>
      </c>
      <c r="B53" s="870"/>
      <c r="C53" s="870"/>
      <c r="D53" s="870"/>
      <c r="E53" s="871"/>
      <c r="F53" s="812"/>
      <c r="G53" s="813"/>
      <c r="H53" s="794"/>
      <c r="I53" s="794"/>
      <c r="J53" s="794"/>
      <c r="K53" s="794"/>
      <c r="L53" s="794"/>
      <c r="M53" s="794"/>
      <c r="N53" s="831">
        <f>入力シート!$CO$75</f>
        <v>0</v>
      </c>
      <c r="O53" s="831"/>
      <c r="P53" s="831"/>
      <c r="Q53" s="831"/>
      <c r="R53" s="831"/>
      <c r="S53" s="831"/>
      <c r="T53" s="832">
        <f>入力シート!$CO$77</f>
        <v>0</v>
      </c>
      <c r="U53" s="833"/>
      <c r="V53" s="833"/>
      <c r="W53" s="833"/>
      <c r="X53" s="833"/>
      <c r="Y53" s="833"/>
      <c r="Z53" s="834"/>
      <c r="AA53" s="306">
        <f>SUM(N53:Z53)</f>
        <v>0</v>
      </c>
      <c r="AC53" s="3"/>
      <c r="AD53" s="3"/>
    </row>
    <row r="54" spans="1:30" customFormat="1" ht="5.25" hidden="1" customHeight="1" thickBot="1" x14ac:dyDescent="0.25">
      <c r="AC54" s="3"/>
      <c r="AD54" s="3"/>
    </row>
    <row r="55" spans="1:30" customFormat="1" ht="21" customHeight="1" thickBot="1" x14ac:dyDescent="0.25">
      <c r="F55" s="872" t="s">
        <v>62</v>
      </c>
      <c r="G55" s="873"/>
      <c r="H55" s="882"/>
      <c r="I55" s="882"/>
      <c r="J55" s="882"/>
      <c r="K55" s="882"/>
      <c r="L55" s="882"/>
      <c r="M55" s="882"/>
      <c r="N55" s="787" t="s">
        <v>716</v>
      </c>
      <c r="O55" s="787"/>
      <c r="P55" s="787"/>
      <c r="Q55" s="787"/>
      <c r="R55" s="787"/>
      <c r="S55" s="787"/>
      <c r="T55" s="787" t="s">
        <v>628</v>
      </c>
      <c r="U55" s="787"/>
      <c r="V55" s="787"/>
      <c r="W55" s="787"/>
      <c r="X55" s="787"/>
      <c r="Y55" s="787"/>
      <c r="Z55" s="788"/>
      <c r="AA55" s="425" t="s">
        <v>38</v>
      </c>
      <c r="AC55" s="3"/>
      <c r="AD55" s="3"/>
    </row>
    <row r="56" spans="1:30" customFormat="1" ht="26.25" customHeight="1" thickTop="1" x14ac:dyDescent="0.2">
      <c r="A56" s="876" t="s">
        <v>719</v>
      </c>
      <c r="B56" s="877"/>
      <c r="C56" s="877"/>
      <c r="D56" s="878"/>
      <c r="E56" s="406" t="s">
        <v>714</v>
      </c>
      <c r="F56" s="844"/>
      <c r="G56" s="845"/>
      <c r="H56" s="883"/>
      <c r="I56" s="883"/>
      <c r="J56" s="883"/>
      <c r="K56" s="883"/>
      <c r="L56" s="883"/>
      <c r="M56" s="883"/>
      <c r="N56" s="799">
        <f>入力シート!$CU$74</f>
        <v>0</v>
      </c>
      <c r="O56" s="800"/>
      <c r="P56" s="800"/>
      <c r="Q56" s="800"/>
      <c r="R56" s="800"/>
      <c r="S56" s="801"/>
      <c r="T56" s="799">
        <f>入力シート!$CU$75</f>
        <v>0</v>
      </c>
      <c r="U56" s="800"/>
      <c r="V56" s="800"/>
      <c r="W56" s="800"/>
      <c r="X56" s="800"/>
      <c r="Y56" s="800"/>
      <c r="Z56" s="801"/>
      <c r="AA56" s="823">
        <f>SUM(N56:Z57)</f>
        <v>0</v>
      </c>
      <c r="AC56" s="753" t="s">
        <v>720</v>
      </c>
      <c r="AD56" s="754"/>
    </row>
    <row r="57" spans="1:30" customFormat="1" ht="26.25" customHeight="1" thickBot="1" x14ac:dyDescent="0.25">
      <c r="A57" s="879"/>
      <c r="B57" s="880"/>
      <c r="C57" s="880"/>
      <c r="D57" s="881"/>
      <c r="E57" s="403" t="s">
        <v>715</v>
      </c>
      <c r="F57" s="865"/>
      <c r="G57" s="866"/>
      <c r="H57" s="622"/>
      <c r="I57" s="622"/>
      <c r="J57" s="622"/>
      <c r="K57" s="622"/>
      <c r="L57" s="622"/>
      <c r="M57" s="622"/>
      <c r="N57" s="806">
        <f>入力シート!$CU$77</f>
        <v>0</v>
      </c>
      <c r="O57" s="807"/>
      <c r="P57" s="807"/>
      <c r="Q57" s="807"/>
      <c r="R57" s="807"/>
      <c r="S57" s="808"/>
      <c r="T57" s="806">
        <f>入力シート!$CU$78</f>
        <v>0</v>
      </c>
      <c r="U57" s="807"/>
      <c r="V57" s="807"/>
      <c r="W57" s="807"/>
      <c r="X57" s="807"/>
      <c r="Y57" s="807"/>
      <c r="Z57" s="808"/>
      <c r="AA57" s="819"/>
      <c r="AC57" s="767">
        <f>SUM(AA56:AA58)</f>
        <v>0</v>
      </c>
      <c r="AD57" s="768"/>
    </row>
    <row r="58" spans="1:30" customFormat="1" ht="26.25" customHeight="1" thickBot="1" x14ac:dyDescent="0.25">
      <c r="A58" s="869" t="s">
        <v>718</v>
      </c>
      <c r="B58" s="870"/>
      <c r="C58" s="870"/>
      <c r="D58" s="871"/>
      <c r="E58" s="404" t="s">
        <v>829</v>
      </c>
      <c r="F58" s="867"/>
      <c r="G58" s="868"/>
      <c r="H58" s="894"/>
      <c r="I58" s="894"/>
      <c r="J58" s="894"/>
      <c r="K58" s="894"/>
      <c r="L58" s="894"/>
      <c r="M58" s="894"/>
      <c r="N58" s="840">
        <f>入力シート!$DC$74</f>
        <v>0</v>
      </c>
      <c r="O58" s="841"/>
      <c r="P58" s="841"/>
      <c r="Q58" s="841"/>
      <c r="R58" s="841"/>
      <c r="S58" s="842"/>
      <c r="T58" s="840">
        <f>入力シート!$DC$75</f>
        <v>0</v>
      </c>
      <c r="U58" s="841"/>
      <c r="V58" s="841"/>
      <c r="W58" s="841"/>
      <c r="X58" s="841"/>
      <c r="Y58" s="841"/>
      <c r="Z58" s="842"/>
      <c r="AA58" s="405">
        <f>SUM(N58:Z58)</f>
        <v>0</v>
      </c>
      <c r="AC58" s="769"/>
      <c r="AD58" s="770"/>
    </row>
    <row r="59" spans="1:30" customFormat="1" ht="26.25" customHeight="1" thickBot="1" x14ac:dyDescent="0.25"/>
    <row r="60" spans="1:30" customFormat="1" ht="23.25" customHeight="1" x14ac:dyDescent="0.2">
      <c r="E60" s="1"/>
      <c r="I60" s="778" t="s">
        <v>71</v>
      </c>
      <c r="J60" s="779"/>
      <c r="K60" s="789">
        <f>SUM(AA8:AA58)</f>
        <v>0</v>
      </c>
      <c r="L60" s="790"/>
      <c r="N60" s="778" t="s">
        <v>71</v>
      </c>
      <c r="O60" s="779"/>
      <c r="P60" s="830">
        <f>入力シート!$DT$10</f>
        <v>0</v>
      </c>
      <c r="Q60" s="790"/>
      <c r="S60" s="795" t="s">
        <v>42</v>
      </c>
      <c r="T60" s="796"/>
      <c r="U60" s="789" t="e">
        <f>LOOKUP(1,0/(入力シート!$B$13:$B$72&lt;&gt;""),入力シート!$B$13:$B$72)</f>
        <v>#N/A</v>
      </c>
      <c r="V60" s="846"/>
      <c r="W60" s="3"/>
      <c r="X60" s="3"/>
      <c r="Z60" s="3"/>
      <c r="AA60" s="3"/>
    </row>
    <row r="61" spans="1:30" customFormat="1" ht="23.25" customHeight="1" thickBot="1" x14ac:dyDescent="0.25">
      <c r="E61" s="1"/>
      <c r="I61" s="839" t="s">
        <v>72</v>
      </c>
      <c r="J61" s="836"/>
      <c r="K61" s="791"/>
      <c r="L61" s="792"/>
      <c r="N61" s="835" t="s">
        <v>73</v>
      </c>
      <c r="O61" s="836"/>
      <c r="P61" s="791"/>
      <c r="Q61" s="792"/>
      <c r="S61" s="797"/>
      <c r="T61" s="798"/>
      <c r="U61" s="847"/>
      <c r="V61" s="848"/>
      <c r="W61" s="3"/>
      <c r="X61" s="3"/>
      <c r="Z61" s="3"/>
      <c r="AA61" s="3"/>
    </row>
    <row r="62" spans="1:30" ht="27" customHeight="1" thickBot="1" x14ac:dyDescent="0.3">
      <c r="C62" s="5"/>
      <c r="D62" s="5"/>
      <c r="E62" s="5"/>
      <c r="H62" s="6"/>
      <c r="I62" s="3"/>
      <c r="J62" s="3"/>
      <c r="M62" s="3"/>
      <c r="N62" s="3"/>
      <c r="O62" s="3"/>
      <c r="P62" s="3"/>
      <c r="Q62" s="3"/>
      <c r="R62" s="4"/>
    </row>
    <row r="63" spans="1:30" ht="28.8" thickBot="1" x14ac:dyDescent="0.25">
      <c r="C63" s="849" t="s">
        <v>842</v>
      </c>
      <c r="D63" s="850"/>
      <c r="E63" s="850"/>
      <c r="F63" s="850"/>
      <c r="G63" s="850"/>
      <c r="H63" s="850"/>
      <c r="I63" s="850"/>
      <c r="J63" s="850"/>
      <c r="K63" s="850"/>
      <c r="L63" s="850"/>
      <c r="M63" s="850"/>
      <c r="N63" s="850"/>
      <c r="O63" s="850"/>
      <c r="P63" s="850"/>
      <c r="Q63" s="850"/>
      <c r="R63" s="850"/>
      <c r="S63" s="850"/>
      <c r="T63" s="850"/>
      <c r="U63" s="850"/>
      <c r="V63" s="850"/>
      <c r="W63" s="850"/>
      <c r="X63" s="851"/>
      <c r="Z63" s="751" t="s">
        <v>34</v>
      </c>
      <c r="AA63" s="752"/>
      <c r="AB63" s="824">
        <f>団体情報・入力の仕方!G3</f>
        <v>0</v>
      </c>
      <c r="AC63" s="825"/>
      <c r="AD63" s="826"/>
    </row>
    <row r="64" spans="1:30" ht="16.5" customHeight="1" x14ac:dyDescent="0.35">
      <c r="I64" s="8"/>
      <c r="J64" s="8"/>
      <c r="K64" s="8"/>
      <c r="L64" s="8"/>
      <c r="M64" s="8"/>
      <c r="N64" s="7"/>
      <c r="O64" s="9"/>
      <c r="P64" s="9"/>
      <c r="Q64" s="10"/>
      <c r="R64" s="10"/>
      <c r="S64" s="10"/>
    </row>
    <row r="65" spans="1:26" ht="24" customHeight="1" thickBot="1" x14ac:dyDescent="0.25">
      <c r="A65" s="3"/>
      <c r="B65" s="3"/>
      <c r="C65" s="805" t="s">
        <v>43</v>
      </c>
      <c r="D65" s="805"/>
      <c r="E65" s="837">
        <f>団体情報・入力の仕方!C4</f>
        <v>0</v>
      </c>
      <c r="F65" s="837"/>
      <c r="G65" s="837"/>
      <c r="H65" s="837"/>
      <c r="I65" s="837"/>
      <c r="J65" s="837"/>
      <c r="K65" s="837"/>
      <c r="L65" s="837"/>
      <c r="M65" s="837"/>
      <c r="N65" s="837"/>
      <c r="O65" s="837"/>
      <c r="P65" s="805" t="s">
        <v>44</v>
      </c>
      <c r="Q65" s="805"/>
      <c r="R65" s="805"/>
      <c r="S65" s="805"/>
      <c r="T65" s="805">
        <f>団体情報・入力の仕方!L4</f>
        <v>0</v>
      </c>
      <c r="U65" s="805"/>
      <c r="V65" s="805"/>
      <c r="W65" s="11" t="s">
        <v>45</v>
      </c>
      <c r="X65" s="805">
        <f>団体情報・入力の仕方!C3</f>
        <v>0</v>
      </c>
      <c r="Y65" s="805"/>
      <c r="Z65" s="805"/>
    </row>
    <row r="66" spans="1:26" ht="12.75" customHeight="1" x14ac:dyDescent="0.2">
      <c r="A66" s="3"/>
      <c r="B66" s="3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2"/>
    </row>
    <row r="67" spans="1:26" ht="24" customHeight="1" thickBot="1" x14ac:dyDescent="0.25">
      <c r="A67" s="3"/>
      <c r="B67" s="3"/>
      <c r="C67" s="805" t="s">
        <v>46</v>
      </c>
      <c r="D67" s="805"/>
      <c r="E67" s="893" t="str">
        <f>"〒　"&amp;団体情報・入力の仕方!C5&amp;"　　"&amp;団体情報・入力の仕方!H5</f>
        <v>〒　　　</v>
      </c>
      <c r="F67" s="893"/>
      <c r="G67" s="893"/>
      <c r="H67" s="893"/>
      <c r="I67" s="893"/>
      <c r="J67" s="893"/>
      <c r="K67" s="893"/>
      <c r="L67" s="893"/>
      <c r="M67" s="893"/>
      <c r="N67" s="893"/>
      <c r="O67" s="893"/>
      <c r="P67" s="893"/>
      <c r="Q67" s="893"/>
      <c r="R67" s="893"/>
      <c r="S67" s="893"/>
      <c r="T67" s="893"/>
      <c r="U67" s="893"/>
      <c r="V67" s="893"/>
      <c r="W67" s="893"/>
      <c r="X67" s="893"/>
      <c r="Y67" s="893"/>
      <c r="Z67" s="893"/>
    </row>
    <row r="68" spans="1:26" ht="12.75" customHeight="1" x14ac:dyDescent="0.2">
      <c r="A68" s="3"/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2"/>
    </row>
    <row r="69" spans="1:26" ht="24" customHeight="1" thickBot="1" x14ac:dyDescent="0.25">
      <c r="A69" s="3"/>
      <c r="B69" s="3"/>
      <c r="C69" s="805" t="s">
        <v>335</v>
      </c>
      <c r="D69" s="805"/>
      <c r="E69" s="893">
        <f>団体情報・入力の仕方!C6</f>
        <v>0</v>
      </c>
      <c r="F69" s="893"/>
      <c r="G69" s="893"/>
      <c r="H69" s="893"/>
      <c r="I69" s="893"/>
      <c r="J69" s="893"/>
      <c r="K69" s="64"/>
      <c r="L69" s="64"/>
      <c r="M69" s="64"/>
      <c r="N69" s="64"/>
      <c r="O69" s="64"/>
      <c r="P69" s="805" t="s">
        <v>47</v>
      </c>
      <c r="Q69" s="805"/>
      <c r="R69" s="805"/>
      <c r="S69" s="893">
        <f>団体情報・入力の仕方!J6</f>
        <v>0</v>
      </c>
      <c r="T69" s="893"/>
      <c r="U69" s="893"/>
      <c r="V69" s="893"/>
      <c r="W69" s="893"/>
      <c r="X69" s="64"/>
      <c r="Y69" s="64"/>
      <c r="Z69" s="64"/>
    </row>
    <row r="70" spans="1:26" ht="10.5" customHeight="1" x14ac:dyDescent="0.2">
      <c r="A70" s="3"/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"/>
      <c r="R70" s="3"/>
      <c r="S70" s="3"/>
    </row>
    <row r="71" spans="1:26" ht="24" customHeight="1" thickBot="1" x14ac:dyDescent="0.25">
      <c r="A71" s="3"/>
      <c r="B71" s="3"/>
      <c r="C71" s="805" t="s">
        <v>339</v>
      </c>
      <c r="D71" s="805"/>
      <c r="E71" s="805"/>
      <c r="F71" s="805"/>
      <c r="G71" s="805">
        <f>団体情報・入力の仕方!C7</f>
        <v>0</v>
      </c>
      <c r="H71" s="805"/>
      <c r="I71" s="805"/>
      <c r="J71" s="805"/>
      <c r="K71" s="805"/>
      <c r="L71" s="805"/>
      <c r="M71" s="805" t="s">
        <v>368</v>
      </c>
      <c r="N71" s="805"/>
      <c r="O71" s="805"/>
      <c r="P71" s="805"/>
      <c r="Q71" s="805"/>
      <c r="R71" s="864">
        <f>団体情報・入力の仕方!J7</f>
        <v>0</v>
      </c>
      <c r="S71" s="864"/>
      <c r="T71" s="864"/>
      <c r="U71" s="864"/>
      <c r="V71" s="864"/>
      <c r="W71" s="64"/>
      <c r="X71" s="64"/>
      <c r="Y71" s="64"/>
      <c r="Z71" s="64"/>
    </row>
    <row r="72" spans="1:26" ht="10.5" customHeight="1" x14ac:dyDescent="0.2">
      <c r="A72" s="3"/>
      <c r="B72" s="3"/>
      <c r="C72" s="4"/>
      <c r="D72" s="4"/>
      <c r="E72" s="12"/>
      <c r="F72" s="4"/>
      <c r="G72" s="12"/>
      <c r="H72" s="12"/>
      <c r="I72" s="12"/>
      <c r="J72" s="12"/>
      <c r="K72" s="4"/>
      <c r="L72" s="4"/>
      <c r="M72" s="4"/>
      <c r="N72" s="12"/>
      <c r="O72" s="12"/>
      <c r="P72" s="12"/>
      <c r="Q72" s="12"/>
      <c r="R72" s="12"/>
      <c r="S72" s="4"/>
      <c r="T72" s="2"/>
    </row>
    <row r="73" spans="1:26" ht="24" customHeight="1" thickBot="1" x14ac:dyDescent="0.25">
      <c r="A73" s="3"/>
      <c r="B73" s="3"/>
      <c r="C73" s="805" t="s">
        <v>48</v>
      </c>
      <c r="D73" s="805"/>
      <c r="E73" s="805"/>
      <c r="F73" s="805"/>
      <c r="G73" s="837">
        <f>団体情報・入力の仕方!C8</f>
        <v>0</v>
      </c>
      <c r="H73" s="837"/>
      <c r="I73" s="837"/>
      <c r="J73" s="837"/>
      <c r="K73" s="837"/>
      <c r="L73" s="837"/>
      <c r="M73" s="837"/>
      <c r="N73" s="837"/>
      <c r="O73" s="837"/>
      <c r="P73" s="837"/>
      <c r="Q73" s="837"/>
      <c r="R73" s="837"/>
      <c r="S73" s="837"/>
      <c r="T73" s="837"/>
      <c r="U73" s="837"/>
      <c r="V73" s="837"/>
      <c r="W73" s="837"/>
      <c r="X73" s="837"/>
      <c r="Y73" s="837"/>
      <c r="Z73" s="837"/>
    </row>
    <row r="74" spans="1:26" ht="10.5" customHeight="1" x14ac:dyDescent="0.2">
      <c r="A74" s="3"/>
      <c r="B74" s="3"/>
      <c r="C74" s="4"/>
      <c r="D74" s="4"/>
      <c r="E74" s="12"/>
      <c r="F74" s="4"/>
      <c r="G74" s="12"/>
      <c r="H74" s="12"/>
      <c r="I74" s="12"/>
      <c r="J74" s="12"/>
      <c r="K74" s="4"/>
      <c r="L74" s="4"/>
      <c r="M74" s="4"/>
      <c r="N74" s="12"/>
      <c r="O74" s="12"/>
      <c r="P74" s="12"/>
      <c r="Q74" s="12"/>
      <c r="R74" s="12"/>
      <c r="S74" s="4"/>
      <c r="T74" s="2"/>
    </row>
    <row r="75" spans="1:26" ht="24" customHeight="1" thickBot="1" x14ac:dyDescent="0.25">
      <c r="A75" s="3"/>
      <c r="B75" s="3"/>
      <c r="C75" s="805" t="s">
        <v>846</v>
      </c>
      <c r="D75" s="805"/>
      <c r="E75" s="805"/>
      <c r="F75" s="805"/>
      <c r="G75" s="837" t="str">
        <f>"〒　"&amp;団体情報・入力の仕方!D9&amp;"　"&amp;団体情報・入力の仕方!H9&amp;"　　"&amp;団体情報・入力の仕方!D10&amp;"　TEL:"&amp;団体情報・入力の仕方!J10</f>
        <v>〒　　　　　TEL:</v>
      </c>
      <c r="H75" s="837"/>
      <c r="I75" s="837"/>
      <c r="J75" s="837"/>
      <c r="K75" s="837"/>
      <c r="L75" s="837"/>
      <c r="M75" s="837"/>
      <c r="N75" s="837"/>
      <c r="O75" s="837"/>
      <c r="P75" s="837"/>
      <c r="Q75" s="837"/>
      <c r="R75" s="837"/>
      <c r="S75" s="837"/>
      <c r="T75" s="837"/>
      <c r="U75" s="837"/>
      <c r="V75" s="837"/>
      <c r="W75" s="837"/>
      <c r="X75" s="837"/>
      <c r="Y75" s="837"/>
      <c r="Z75" s="837"/>
    </row>
    <row r="76" spans="1:26" ht="10.5" customHeight="1" x14ac:dyDescent="0.2">
      <c r="A76" s="3"/>
      <c r="B76" s="3"/>
      <c r="C76" s="4"/>
      <c r="D76" s="4"/>
      <c r="E76" s="12"/>
      <c r="F76" s="4"/>
      <c r="G76" s="12"/>
      <c r="H76" s="12"/>
      <c r="I76" s="12"/>
      <c r="J76" s="12"/>
      <c r="K76" s="4"/>
      <c r="L76" s="4"/>
      <c r="M76" s="4"/>
      <c r="N76" s="12"/>
      <c r="O76" s="12"/>
      <c r="P76" s="12"/>
      <c r="Q76" s="12"/>
      <c r="R76" s="12"/>
      <c r="S76" s="4"/>
      <c r="T76" s="2"/>
    </row>
    <row r="77" spans="1:26" ht="14.25" customHeight="1" thickBot="1" x14ac:dyDescent="0.25"/>
    <row r="78" spans="1:26" ht="24" customHeight="1" thickBot="1" x14ac:dyDescent="0.3">
      <c r="A78" s="13" t="s">
        <v>0</v>
      </c>
      <c r="B78" s="35" t="s">
        <v>338</v>
      </c>
      <c r="C78" s="3"/>
      <c r="D78" s="4"/>
      <c r="E78" s="4"/>
      <c r="F78" s="4"/>
      <c r="G78" s="4"/>
      <c r="H78" s="4"/>
      <c r="I78" s="4"/>
      <c r="J78" s="4"/>
      <c r="K78" s="4"/>
      <c r="L78" s="3"/>
      <c r="M78" s="3"/>
      <c r="N78" s="3"/>
      <c r="O78" s="3"/>
    </row>
    <row r="79" spans="1:26" ht="24.9" customHeight="1" x14ac:dyDescent="0.2">
      <c r="A79" s="36"/>
      <c r="B79" s="3"/>
      <c r="C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26" ht="24.9" customHeight="1" x14ac:dyDescent="0.2">
      <c r="A80" s="37" t="s">
        <v>315</v>
      </c>
      <c r="B80" s="3"/>
      <c r="C80" s="3"/>
      <c r="D80" s="3"/>
      <c r="E80" s="3"/>
      <c r="F80" s="3"/>
      <c r="G80" s="3"/>
      <c r="H80" s="3"/>
      <c r="I80" s="37" t="s">
        <v>640</v>
      </c>
      <c r="J80" s="3"/>
      <c r="K80" s="3"/>
      <c r="L80" s="3"/>
      <c r="M80" s="3"/>
      <c r="N80" s="3"/>
      <c r="O80" s="3"/>
      <c r="P80" s="3"/>
      <c r="Q80" s="3"/>
      <c r="R80" s="37" t="s">
        <v>334</v>
      </c>
      <c r="S80" s="3"/>
    </row>
    <row r="81" spans="1:31" ht="24.9" customHeight="1" x14ac:dyDescent="0.2">
      <c r="A81" s="3" t="s">
        <v>608</v>
      </c>
      <c r="B81" s="3"/>
      <c r="C81" s="3"/>
      <c r="D81" s="3"/>
      <c r="E81" s="3"/>
      <c r="F81" s="3"/>
      <c r="G81" s="3"/>
      <c r="H81" s="3"/>
      <c r="I81" s="301" t="s">
        <v>641</v>
      </c>
      <c r="J81" s="301"/>
      <c r="K81" s="38">
        <v>2000</v>
      </c>
      <c r="L81" s="32" t="s">
        <v>49</v>
      </c>
      <c r="M81" s="32">
        <f>$F$18</f>
        <v>0</v>
      </c>
      <c r="N81" s="32" t="s">
        <v>316</v>
      </c>
      <c r="O81" s="781">
        <f>K81*M81</f>
        <v>0</v>
      </c>
      <c r="P81" s="781"/>
      <c r="Q81" s="3"/>
      <c r="R81" s="301" t="s">
        <v>21</v>
      </c>
      <c r="S81" s="301"/>
      <c r="T81" s="38">
        <v>4500</v>
      </c>
      <c r="U81" s="32" t="s">
        <v>327</v>
      </c>
      <c r="V81" s="32">
        <f>$AA$42</f>
        <v>0</v>
      </c>
      <c r="W81" s="32" t="s">
        <v>326</v>
      </c>
      <c r="X81" s="781">
        <f t="shared" ref="X81:X86" si="3">T81*V81</f>
        <v>0</v>
      </c>
      <c r="Y81" s="781"/>
    </row>
    <row r="82" spans="1:31" ht="24.9" customHeight="1" x14ac:dyDescent="0.2">
      <c r="A82" s="32" t="s">
        <v>54</v>
      </c>
      <c r="B82" s="38">
        <v>3000</v>
      </c>
      <c r="C82" s="32" t="s">
        <v>49</v>
      </c>
      <c r="D82" s="32">
        <f>AA11</f>
        <v>0</v>
      </c>
      <c r="E82" s="32" t="s">
        <v>316</v>
      </c>
      <c r="F82" s="781">
        <f>B82*D82</f>
        <v>0</v>
      </c>
      <c r="G82" s="781"/>
      <c r="H82" s="3"/>
      <c r="I82" s="305" t="s">
        <v>642</v>
      </c>
      <c r="J82" s="305"/>
      <c r="K82" s="38">
        <v>2000</v>
      </c>
      <c r="L82" s="32" t="s">
        <v>49</v>
      </c>
      <c r="M82" s="32">
        <f>$N$18</f>
        <v>0</v>
      </c>
      <c r="N82" s="32" t="s">
        <v>316</v>
      </c>
      <c r="O82" s="781">
        <f>K82*M82</f>
        <v>0</v>
      </c>
      <c r="P82" s="781"/>
      <c r="Q82" s="3"/>
      <c r="R82" s="305" t="s">
        <v>329</v>
      </c>
      <c r="S82" s="305"/>
      <c r="T82" s="38">
        <v>4500</v>
      </c>
      <c r="U82" s="32" t="s">
        <v>327</v>
      </c>
      <c r="V82" s="32">
        <f>$AA$44</f>
        <v>0</v>
      </c>
      <c r="W82" s="32" t="s">
        <v>317</v>
      </c>
      <c r="X82" s="781">
        <f t="shared" si="3"/>
        <v>0</v>
      </c>
      <c r="Y82" s="781"/>
    </row>
    <row r="83" spans="1:31" ht="24.9" customHeight="1" x14ac:dyDescent="0.2">
      <c r="A83" s="32" t="s">
        <v>56</v>
      </c>
      <c r="B83" s="38">
        <v>3000</v>
      </c>
      <c r="C83" s="33" t="s">
        <v>49</v>
      </c>
      <c r="D83" s="33">
        <f>AA12</f>
        <v>0</v>
      </c>
      <c r="E83" s="33" t="s">
        <v>316</v>
      </c>
      <c r="F83" s="781">
        <f>B83*D83</f>
        <v>0</v>
      </c>
      <c r="G83" s="781"/>
      <c r="H83" s="3"/>
      <c r="I83" s="3"/>
      <c r="J83" s="3"/>
      <c r="K83" s="3"/>
      <c r="L83" s="3"/>
      <c r="M83" s="3"/>
      <c r="N83" s="3"/>
      <c r="O83" s="3"/>
      <c r="P83" s="3"/>
      <c r="Q83" s="3"/>
      <c r="R83" s="305" t="s">
        <v>333</v>
      </c>
      <c r="S83" s="305"/>
      <c r="T83" s="38">
        <v>4500</v>
      </c>
      <c r="U83" s="33" t="s">
        <v>49</v>
      </c>
      <c r="V83" s="33">
        <f>$AA$46</f>
        <v>0</v>
      </c>
      <c r="W83" s="33" t="s">
        <v>320</v>
      </c>
      <c r="X83" s="781">
        <f t="shared" si="3"/>
        <v>0</v>
      </c>
      <c r="Y83" s="781"/>
    </row>
    <row r="84" spans="1:31" ht="24.9" customHeight="1" x14ac:dyDescent="0.2">
      <c r="A84" s="32" t="s">
        <v>58</v>
      </c>
      <c r="B84" s="38">
        <v>3000</v>
      </c>
      <c r="C84" s="33" t="s">
        <v>49</v>
      </c>
      <c r="D84" s="33">
        <f>AA13</f>
        <v>0</v>
      </c>
      <c r="E84" s="33" t="s">
        <v>316</v>
      </c>
      <c r="F84" s="781">
        <f>B84*D84</f>
        <v>0</v>
      </c>
      <c r="G84" s="781"/>
      <c r="H84" s="3"/>
      <c r="I84" s="37" t="s">
        <v>722</v>
      </c>
      <c r="Q84" s="3"/>
      <c r="R84" s="305" t="s">
        <v>382</v>
      </c>
      <c r="S84" s="305"/>
      <c r="T84" s="38">
        <v>4500</v>
      </c>
      <c r="U84" s="33" t="s">
        <v>384</v>
      </c>
      <c r="V84" s="33">
        <f>AA48</f>
        <v>0</v>
      </c>
      <c r="W84" s="33" t="s">
        <v>385</v>
      </c>
      <c r="X84" s="781">
        <f t="shared" si="3"/>
        <v>0</v>
      </c>
      <c r="Y84" s="781"/>
    </row>
    <row r="85" spans="1:31" ht="24.9" customHeight="1" x14ac:dyDescent="0.2">
      <c r="A85" s="32" t="s">
        <v>60</v>
      </c>
      <c r="B85" s="38">
        <v>3000</v>
      </c>
      <c r="C85" s="33" t="s">
        <v>49</v>
      </c>
      <c r="D85" s="33">
        <f>AA14</f>
        <v>0</v>
      </c>
      <c r="E85" s="33" t="s">
        <v>316</v>
      </c>
      <c r="F85" s="781">
        <f>B85*D85</f>
        <v>0</v>
      </c>
      <c r="G85" s="781"/>
      <c r="H85" s="3"/>
      <c r="I85" s="3" t="s">
        <v>719</v>
      </c>
      <c r="J85" s="3"/>
      <c r="K85" s="3"/>
      <c r="L85" s="3"/>
      <c r="M85" s="3"/>
      <c r="N85" s="3"/>
      <c r="O85" s="3"/>
      <c r="P85" s="3"/>
      <c r="Q85" s="3"/>
      <c r="R85" s="301" t="s">
        <v>383</v>
      </c>
      <c r="S85" s="305"/>
      <c r="T85" s="38">
        <v>4500</v>
      </c>
      <c r="U85" s="33" t="s">
        <v>384</v>
      </c>
      <c r="V85" s="33">
        <f>AA49</f>
        <v>0</v>
      </c>
      <c r="W85" s="33" t="s">
        <v>385</v>
      </c>
      <c r="X85" s="781">
        <f t="shared" si="3"/>
        <v>0</v>
      </c>
      <c r="Y85" s="781"/>
    </row>
    <row r="86" spans="1:31" ht="24.9" customHeight="1" thickBot="1" x14ac:dyDescent="0.25">
      <c r="A86" s="3"/>
      <c r="B86" s="3"/>
      <c r="C86" s="3"/>
      <c r="D86" s="3"/>
      <c r="E86" s="3"/>
      <c r="F86" s="3"/>
      <c r="G86" s="3"/>
      <c r="H86" s="3"/>
      <c r="I86" s="40"/>
      <c r="J86" s="40"/>
      <c r="K86" s="38">
        <v>4500</v>
      </c>
      <c r="L86" s="32" t="s">
        <v>319</v>
      </c>
      <c r="M86" s="32">
        <f>$AA$56</f>
        <v>0</v>
      </c>
      <c r="N86" s="32" t="s">
        <v>316</v>
      </c>
      <c r="O86" s="781">
        <f>K86*M86</f>
        <v>0</v>
      </c>
      <c r="P86" s="781"/>
      <c r="Q86" s="3"/>
      <c r="R86" s="301" t="s">
        <v>332</v>
      </c>
      <c r="S86" s="305"/>
      <c r="T86" s="39">
        <v>6000</v>
      </c>
      <c r="U86" s="32" t="s">
        <v>327</v>
      </c>
      <c r="V86" s="32">
        <f>AA50</f>
        <v>0</v>
      </c>
      <c r="W86" s="32" t="s">
        <v>317</v>
      </c>
      <c r="X86" s="781">
        <f t="shared" si="3"/>
        <v>0</v>
      </c>
      <c r="Y86" s="781"/>
    </row>
    <row r="87" spans="1:31" ht="24.9" customHeight="1" thickBot="1" x14ac:dyDescent="0.25">
      <c r="A87" s="3"/>
      <c r="B87" s="3"/>
      <c r="C87" s="3"/>
      <c r="D87" s="3"/>
      <c r="E87" s="3"/>
      <c r="F87" s="3"/>
      <c r="G87" s="3"/>
      <c r="H87" s="3"/>
      <c r="I87" s="3" t="s">
        <v>721</v>
      </c>
      <c r="J87" s="3"/>
      <c r="M87" s="3"/>
      <c r="N87" s="3"/>
      <c r="O87" s="3"/>
      <c r="P87" s="3"/>
      <c r="Q87" s="3"/>
      <c r="R87" s="35"/>
      <c r="S87" s="35"/>
      <c r="T87" s="89"/>
      <c r="U87" s="2"/>
      <c r="V87" s="2"/>
      <c r="W87" s="2"/>
      <c r="X87" s="95"/>
      <c r="Y87" s="95"/>
      <c r="AC87" s="821" t="s">
        <v>328</v>
      </c>
      <c r="AD87" s="822"/>
    </row>
    <row r="88" spans="1:31" ht="24.9" customHeight="1" thickBot="1" x14ac:dyDescent="0.25">
      <c r="A88" s="3"/>
      <c r="B88" s="3"/>
      <c r="C88" s="3"/>
      <c r="D88" s="3"/>
      <c r="E88" s="3"/>
      <c r="F88" s="3"/>
      <c r="G88" s="3"/>
      <c r="H88" s="3"/>
      <c r="I88" s="40"/>
      <c r="J88" s="40"/>
      <c r="K88" s="38">
        <v>6000</v>
      </c>
      <c r="L88" s="32" t="s">
        <v>319</v>
      </c>
      <c r="M88" s="32">
        <f>$AA$58</f>
        <v>0</v>
      </c>
      <c r="N88" s="32" t="s">
        <v>723</v>
      </c>
      <c r="O88" s="781">
        <f>K88*M88</f>
        <v>0</v>
      </c>
      <c r="P88" s="781"/>
      <c r="Q88" s="3"/>
      <c r="AC88" s="814">
        <f>SUM(F82:G85,X81:Y86,X108,O81:P82,O86:P88)</f>
        <v>0</v>
      </c>
      <c r="AD88" s="815"/>
    </row>
    <row r="89" spans="1:31" ht="24.9" customHeight="1" x14ac:dyDescent="0.2">
      <c r="B89" s="89"/>
      <c r="F89" s="95"/>
      <c r="G89" s="95"/>
      <c r="H89" s="3"/>
      <c r="J89" s="89"/>
      <c r="N89" s="74"/>
      <c r="O89" s="74"/>
      <c r="P89" s="3"/>
      <c r="Q89" s="3"/>
    </row>
    <row r="90" spans="1:31" ht="24.9" customHeight="1" x14ac:dyDescent="0.2">
      <c r="A90" s="37" t="s">
        <v>336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AD90" s="74"/>
    </row>
    <row r="91" spans="1:31" ht="24.9" customHeight="1" x14ac:dyDescent="0.2">
      <c r="A91" s="3" t="s">
        <v>21</v>
      </c>
      <c r="B91" s="3"/>
      <c r="C91" s="3"/>
      <c r="D91" s="3"/>
      <c r="E91" s="3"/>
      <c r="F91" s="3"/>
      <c r="G91" s="3"/>
      <c r="H91" s="3"/>
      <c r="I91" s="838" t="s">
        <v>333</v>
      </c>
      <c r="J91" s="838"/>
      <c r="K91" s="3"/>
      <c r="L91" s="3"/>
      <c r="M91" s="3"/>
      <c r="N91" s="3"/>
      <c r="O91" s="3"/>
      <c r="P91" s="3"/>
      <c r="Q91" s="3"/>
      <c r="R91" s="838" t="s">
        <v>331</v>
      </c>
      <c r="S91" s="838"/>
      <c r="AD91" s="74"/>
      <c r="AE91" s="74"/>
    </row>
    <row r="92" spans="1:31" ht="24.9" customHeight="1" x14ac:dyDescent="0.2">
      <c r="A92" s="302" t="s">
        <v>54</v>
      </c>
      <c r="B92" s="38">
        <v>3000</v>
      </c>
      <c r="C92" s="32" t="s">
        <v>321</v>
      </c>
      <c r="D92" s="32">
        <f>AA20</f>
        <v>0</v>
      </c>
      <c r="E92" s="32" t="s">
        <v>322</v>
      </c>
      <c r="F92" s="781">
        <f>B92*D92</f>
        <v>0</v>
      </c>
      <c r="G92" s="781"/>
      <c r="H92" s="3"/>
      <c r="I92" s="3"/>
      <c r="J92" s="32" t="s">
        <v>56</v>
      </c>
      <c r="K92" s="38">
        <v>3000</v>
      </c>
      <c r="L92" s="32" t="s">
        <v>325</v>
      </c>
      <c r="M92" s="32">
        <f>AA27</f>
        <v>0</v>
      </c>
      <c r="N92" s="32" t="s">
        <v>318</v>
      </c>
      <c r="O92" s="781">
        <f>K92*M92</f>
        <v>0</v>
      </c>
      <c r="P92" s="781"/>
      <c r="Q92" s="3"/>
      <c r="R92" s="3"/>
      <c r="S92" s="32" t="s">
        <v>56</v>
      </c>
      <c r="T92" s="38">
        <v>3000</v>
      </c>
      <c r="U92" s="32" t="s">
        <v>319</v>
      </c>
      <c r="V92" s="32">
        <f>AA32</f>
        <v>0</v>
      </c>
      <c r="W92" s="32" t="s">
        <v>326</v>
      </c>
      <c r="X92" s="781">
        <f>T92*V92</f>
        <v>0</v>
      </c>
      <c r="Y92" s="781"/>
      <c r="AD92" s="74"/>
      <c r="AE92" s="74"/>
    </row>
    <row r="93" spans="1:31" ht="24.9" customHeight="1" x14ac:dyDescent="0.2">
      <c r="A93" s="303" t="s">
        <v>56</v>
      </c>
      <c r="B93" s="39">
        <v>3000</v>
      </c>
      <c r="C93" s="34" t="s">
        <v>49</v>
      </c>
      <c r="D93" s="33">
        <f>AA21</f>
        <v>0</v>
      </c>
      <c r="E93" s="34" t="s">
        <v>322</v>
      </c>
      <c r="F93" s="781">
        <f>B93*D93</f>
        <v>0</v>
      </c>
      <c r="G93" s="781"/>
      <c r="H93" s="3"/>
      <c r="I93" s="3"/>
      <c r="J93" s="33" t="s">
        <v>60</v>
      </c>
      <c r="K93" s="39">
        <v>3500</v>
      </c>
      <c r="L93" s="33" t="s">
        <v>325</v>
      </c>
      <c r="M93" s="33">
        <f>AA28</f>
        <v>0</v>
      </c>
      <c r="N93" s="33" t="s">
        <v>318</v>
      </c>
      <c r="O93" s="781">
        <f>K93*M93</f>
        <v>0</v>
      </c>
      <c r="P93" s="781"/>
      <c r="Q93" s="3"/>
      <c r="R93" s="3"/>
      <c r="S93" s="33" t="s">
        <v>58</v>
      </c>
      <c r="T93" s="39">
        <v>3500</v>
      </c>
      <c r="U93" s="33" t="s">
        <v>323</v>
      </c>
      <c r="V93" s="32">
        <f>AA33</f>
        <v>0</v>
      </c>
      <c r="W93" s="33" t="s">
        <v>324</v>
      </c>
      <c r="X93" s="781">
        <f>T93*V93</f>
        <v>0</v>
      </c>
      <c r="Y93" s="781"/>
    </row>
    <row r="94" spans="1:31" ht="24.9" customHeight="1" x14ac:dyDescent="0.2">
      <c r="A94" s="303" t="s">
        <v>58</v>
      </c>
      <c r="B94" s="39">
        <v>3500</v>
      </c>
      <c r="C94" s="33" t="s">
        <v>327</v>
      </c>
      <c r="D94" s="33">
        <f>AA22</f>
        <v>0</v>
      </c>
      <c r="E94" s="33" t="s">
        <v>326</v>
      </c>
      <c r="F94" s="781">
        <f>B94*D94</f>
        <v>0</v>
      </c>
      <c r="G94" s="781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3" t="s">
        <v>60</v>
      </c>
      <c r="T94" s="39">
        <v>3500</v>
      </c>
      <c r="U94" s="33" t="s">
        <v>325</v>
      </c>
      <c r="V94" s="32">
        <f>AA34</f>
        <v>0</v>
      </c>
      <c r="W94" s="33" t="s">
        <v>318</v>
      </c>
      <c r="X94" s="781">
        <f>T94*V94</f>
        <v>0</v>
      </c>
      <c r="Y94" s="781"/>
    </row>
    <row r="95" spans="1:31" ht="24.9" customHeight="1" x14ac:dyDescent="0.2">
      <c r="A95" s="303" t="s">
        <v>60</v>
      </c>
      <c r="B95" s="39">
        <v>3500</v>
      </c>
      <c r="C95" s="33" t="s">
        <v>319</v>
      </c>
      <c r="D95" s="33">
        <f>AA23</f>
        <v>0</v>
      </c>
      <c r="E95" s="33" t="s">
        <v>326</v>
      </c>
      <c r="F95" s="781">
        <f>B95*D95</f>
        <v>0</v>
      </c>
      <c r="G95" s="781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31" ht="24.9" customHeight="1" x14ac:dyDescent="0.2">
      <c r="A96" s="304" t="s">
        <v>329</v>
      </c>
      <c r="B96" s="304"/>
      <c r="C96" s="304"/>
      <c r="D96" s="304"/>
      <c r="E96" s="304"/>
      <c r="F96" s="3"/>
      <c r="G96" s="3"/>
      <c r="H96" s="3"/>
      <c r="I96" s="838" t="s">
        <v>330</v>
      </c>
      <c r="J96" s="838"/>
      <c r="K96" s="3"/>
      <c r="L96" s="3"/>
      <c r="M96" s="3"/>
      <c r="N96" s="3"/>
      <c r="O96" s="3"/>
      <c r="P96" s="3"/>
      <c r="Q96" s="3"/>
      <c r="R96" s="838" t="s">
        <v>332</v>
      </c>
      <c r="S96" s="838"/>
    </row>
    <row r="97" spans="1:30" ht="24.9" customHeight="1" thickBot="1" x14ac:dyDescent="0.25">
      <c r="A97" s="302" t="s">
        <v>56</v>
      </c>
      <c r="B97" s="38">
        <v>3000</v>
      </c>
      <c r="C97" s="32" t="s">
        <v>323</v>
      </c>
      <c r="D97" s="32">
        <f>AA24</f>
        <v>0</v>
      </c>
      <c r="E97" s="32" t="s">
        <v>324</v>
      </c>
      <c r="F97" s="781">
        <f>B97*D97</f>
        <v>0</v>
      </c>
      <c r="G97" s="781"/>
      <c r="H97" s="3"/>
      <c r="I97" s="3"/>
      <c r="J97" s="32" t="s">
        <v>56</v>
      </c>
      <c r="K97" s="38">
        <v>3000</v>
      </c>
      <c r="L97" s="32" t="s">
        <v>321</v>
      </c>
      <c r="M97" s="32">
        <f>AA29</f>
        <v>0</v>
      </c>
      <c r="N97" s="32" t="s">
        <v>322</v>
      </c>
      <c r="O97" s="781">
        <f>K97*M97</f>
        <v>0</v>
      </c>
      <c r="P97" s="781"/>
      <c r="Q97" s="3"/>
      <c r="R97" s="3"/>
      <c r="S97" s="32" t="s">
        <v>56</v>
      </c>
      <c r="T97" s="38">
        <v>4000</v>
      </c>
      <c r="U97" s="32" t="s">
        <v>325</v>
      </c>
      <c r="V97" s="32">
        <f>AA35</f>
        <v>0</v>
      </c>
      <c r="W97" s="32" t="s">
        <v>318</v>
      </c>
      <c r="X97" s="781">
        <f>T97*V97</f>
        <v>0</v>
      </c>
      <c r="Y97" s="781"/>
    </row>
    <row r="98" spans="1:30" ht="24.9" customHeight="1" thickBot="1" x14ac:dyDescent="0.25">
      <c r="A98" s="303" t="s">
        <v>58</v>
      </c>
      <c r="B98" s="39">
        <v>3500</v>
      </c>
      <c r="C98" s="33" t="s">
        <v>325</v>
      </c>
      <c r="D98" s="33">
        <f>AA25</f>
        <v>0</v>
      </c>
      <c r="E98" s="33" t="s">
        <v>318</v>
      </c>
      <c r="F98" s="781">
        <f>B98*D98</f>
        <v>0</v>
      </c>
      <c r="G98" s="781"/>
      <c r="H98" s="3"/>
      <c r="I98" s="3"/>
      <c r="J98" s="33" t="s">
        <v>58</v>
      </c>
      <c r="K98" s="39">
        <v>3500</v>
      </c>
      <c r="L98" s="34" t="s">
        <v>49</v>
      </c>
      <c r="M98" s="32">
        <f>AA30</f>
        <v>0</v>
      </c>
      <c r="N98" s="34" t="s">
        <v>322</v>
      </c>
      <c r="O98" s="781">
        <f>K98*M98</f>
        <v>0</v>
      </c>
      <c r="P98" s="781"/>
      <c r="Q98" s="3"/>
      <c r="R98" s="3"/>
      <c r="S98" s="33" t="s">
        <v>58</v>
      </c>
      <c r="T98" s="39">
        <v>4500</v>
      </c>
      <c r="U98" s="33" t="s">
        <v>325</v>
      </c>
      <c r="V98" s="32">
        <f>AA36</f>
        <v>0</v>
      </c>
      <c r="W98" s="33" t="s">
        <v>318</v>
      </c>
      <c r="X98" s="781">
        <f>T98*V98</f>
        <v>0</v>
      </c>
      <c r="Y98" s="781"/>
      <c r="AC98" s="821" t="s">
        <v>337</v>
      </c>
      <c r="AD98" s="822"/>
    </row>
    <row r="99" spans="1:30" ht="24.9" customHeight="1" thickBot="1" x14ac:dyDescent="0.25">
      <c r="A99" s="303" t="s">
        <v>60</v>
      </c>
      <c r="B99" s="39">
        <v>3500</v>
      </c>
      <c r="C99" s="33" t="s">
        <v>325</v>
      </c>
      <c r="D99" s="33">
        <f>AA26</f>
        <v>0</v>
      </c>
      <c r="E99" s="33" t="s">
        <v>318</v>
      </c>
      <c r="F99" s="781">
        <f>B99*D99</f>
        <v>0</v>
      </c>
      <c r="G99" s="781"/>
      <c r="H99" s="3"/>
      <c r="I99" s="3"/>
      <c r="J99" s="33" t="s">
        <v>60</v>
      </c>
      <c r="K99" s="39">
        <v>3500</v>
      </c>
      <c r="L99" s="33" t="s">
        <v>327</v>
      </c>
      <c r="M99" s="32">
        <f>AA31</f>
        <v>0</v>
      </c>
      <c r="N99" s="33" t="s">
        <v>326</v>
      </c>
      <c r="O99" s="781">
        <f>K99*M99</f>
        <v>0</v>
      </c>
      <c r="P99" s="781"/>
      <c r="Q99" s="3"/>
      <c r="R99" s="3"/>
      <c r="S99" s="33" t="s">
        <v>60</v>
      </c>
      <c r="T99" s="39">
        <v>4500</v>
      </c>
      <c r="U99" s="33" t="s">
        <v>325</v>
      </c>
      <c r="V99" s="32">
        <f>AA37</f>
        <v>0</v>
      </c>
      <c r="W99" s="33" t="s">
        <v>318</v>
      </c>
      <c r="X99" s="781">
        <f>T99*V99</f>
        <v>0</v>
      </c>
      <c r="Y99" s="781"/>
      <c r="AC99" s="814">
        <f>SUM(F92:G99,O92:P99,X92:Y99)</f>
        <v>0</v>
      </c>
      <c r="AD99" s="815"/>
    </row>
    <row r="100" spans="1:30" ht="24.9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1:30" ht="15" customHeight="1" thickBo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Q101" s="3"/>
      <c r="R101" s="3"/>
      <c r="S101" s="3"/>
    </row>
    <row r="102" spans="1:30" ht="33" customHeight="1" thickTop="1" thickBot="1" x14ac:dyDescent="0.25">
      <c r="A102" s="3"/>
      <c r="B102" s="3"/>
      <c r="E102" s="3"/>
      <c r="F102" s="3"/>
      <c r="G102" s="3"/>
      <c r="H102" s="3"/>
      <c r="I102" s="3"/>
      <c r="J102" s="3"/>
      <c r="K102" s="515" t="s">
        <v>525</v>
      </c>
      <c r="L102" s="340"/>
      <c r="M102" s="340"/>
      <c r="N102" s="340"/>
      <c r="O102" s="340"/>
      <c r="P102" s="340"/>
      <c r="Q102" s="340"/>
      <c r="R102" s="775" t="s">
        <v>644</v>
      </c>
      <c r="S102" s="776"/>
      <c r="T102" s="776"/>
      <c r="U102" s="776"/>
      <c r="V102" s="777"/>
      <c r="X102" s="41"/>
      <c r="Y102" s="41"/>
      <c r="Z102" s="516" t="s">
        <v>643</v>
      </c>
      <c r="AA102" s="42"/>
      <c r="AB102" s="816">
        <f>SUM(AC88,AC99,1000)</f>
        <v>1000</v>
      </c>
      <c r="AC102" s="817"/>
      <c r="AD102" s="818"/>
    </row>
    <row r="103" spans="1:30" ht="24.9" customHeight="1" thickTop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Q103" s="3"/>
      <c r="R103" s="3"/>
      <c r="S103" s="3"/>
      <c r="X103" s="780" t="s">
        <v>838</v>
      </c>
      <c r="Y103" s="780"/>
      <c r="Z103" s="780"/>
      <c r="AA103" s="780"/>
      <c r="AB103" s="780"/>
      <c r="AC103" s="780"/>
      <c r="AD103" s="780"/>
    </row>
    <row r="105" spans="1:30" x14ac:dyDescent="0.2">
      <c r="I105" s="3"/>
      <c r="J105" s="3"/>
      <c r="K105" s="3"/>
    </row>
    <row r="106" spans="1:30" hidden="1" x14ac:dyDescent="0.2"/>
    <row r="107" spans="1:30" ht="14.4" hidden="1" x14ac:dyDescent="0.2">
      <c r="A107" s="3" t="s">
        <v>609</v>
      </c>
      <c r="R107" s="37" t="s">
        <v>824</v>
      </c>
      <c r="S107" s="37"/>
      <c r="T107" s="37"/>
    </row>
    <row r="108" spans="1:30" hidden="1" x14ac:dyDescent="0.2">
      <c r="A108" s="32" t="s">
        <v>56</v>
      </c>
      <c r="B108" s="38">
        <v>2500</v>
      </c>
      <c r="C108" s="32" t="s">
        <v>49</v>
      </c>
      <c r="D108" s="32">
        <f>AA15</f>
        <v>0</v>
      </c>
      <c r="E108" s="32" t="s">
        <v>316</v>
      </c>
      <c r="F108" s="781">
        <f>B108*D108</f>
        <v>0</v>
      </c>
      <c r="G108" s="781"/>
      <c r="R108" s="3"/>
      <c r="S108" s="3"/>
      <c r="T108" s="424">
        <v>3000</v>
      </c>
      <c r="U108" s="32" t="s">
        <v>327</v>
      </c>
      <c r="V108" s="32">
        <f>$AA$53</f>
        <v>0</v>
      </c>
      <c r="W108" s="32" t="s">
        <v>317</v>
      </c>
      <c r="X108" s="781">
        <f>T108*V108</f>
        <v>0</v>
      </c>
      <c r="Y108" s="781"/>
    </row>
    <row r="109" spans="1:30" hidden="1" x14ac:dyDescent="0.2">
      <c r="A109" s="32" t="s">
        <v>58</v>
      </c>
      <c r="B109" s="39">
        <v>2500</v>
      </c>
      <c r="C109" s="33" t="s">
        <v>49</v>
      </c>
      <c r="D109" s="33">
        <f>AA16</f>
        <v>0</v>
      </c>
      <c r="E109" s="33" t="s">
        <v>316</v>
      </c>
      <c r="F109" s="781">
        <f>B109*D109</f>
        <v>0</v>
      </c>
      <c r="G109" s="781"/>
    </row>
    <row r="110" spans="1:30" hidden="1" x14ac:dyDescent="0.2"/>
    <row r="111" spans="1:30" hidden="1" x14ac:dyDescent="0.2"/>
  </sheetData>
  <sheetProtection algorithmName="SHA-512" hashValue="Lnq6fbXeK7+MyWNYFW7zbCEJ/xRBUAHLREyOPhc3HuKXvwltRYVLlfCaWevGCwMXEd/riKsQpHLxNcbdAsLtIg==" saltValue="fwB4O3S/+R0M6wejnHaXgg==" spinCount="100000" sheet="1" selectLockedCells="1"/>
  <mergeCells count="373">
    <mergeCell ref="F8:G8"/>
    <mergeCell ref="H8:M8"/>
    <mergeCell ref="N8:P8"/>
    <mergeCell ref="Q8:S8"/>
    <mergeCell ref="A42:B50"/>
    <mergeCell ref="A20:B37"/>
    <mergeCell ref="N23:P23"/>
    <mergeCell ref="K25:M25"/>
    <mergeCell ref="N33:P33"/>
    <mergeCell ref="K35:M35"/>
    <mergeCell ref="K42:M42"/>
    <mergeCell ref="N44:P44"/>
    <mergeCell ref="N41:P41"/>
    <mergeCell ref="Q41:S41"/>
    <mergeCell ref="K40:M40"/>
    <mergeCell ref="Q40:S40"/>
    <mergeCell ref="N43:P43"/>
    <mergeCell ref="N40:P40"/>
    <mergeCell ref="Q27:S27"/>
    <mergeCell ref="Q26:S26"/>
    <mergeCell ref="F26:G26"/>
    <mergeCell ref="N28:P28"/>
    <mergeCell ref="Q28:S28"/>
    <mergeCell ref="F24:G24"/>
    <mergeCell ref="T8:Z8"/>
    <mergeCell ref="F35:G35"/>
    <mergeCell ref="F36:G36"/>
    <mergeCell ref="N25:P25"/>
    <mergeCell ref="Q25:S25"/>
    <mergeCell ref="T25:Z25"/>
    <mergeCell ref="Q23:S23"/>
    <mergeCell ref="T23:Z23"/>
    <mergeCell ref="H23:J23"/>
    <mergeCell ref="K23:M23"/>
    <mergeCell ref="Q24:S24"/>
    <mergeCell ref="T24:Z24"/>
    <mergeCell ref="N24:P24"/>
    <mergeCell ref="H24:J24"/>
    <mergeCell ref="K24:M24"/>
    <mergeCell ref="H25:J25"/>
    <mergeCell ref="Q33:S33"/>
    <mergeCell ref="F28:G28"/>
    <mergeCell ref="H26:J26"/>
    <mergeCell ref="K26:M26"/>
    <mergeCell ref="F21:G21"/>
    <mergeCell ref="F23:G23"/>
    <mergeCell ref="K21:M21"/>
    <mergeCell ref="N21:P21"/>
    <mergeCell ref="K20:M20"/>
    <mergeCell ref="H22:J22"/>
    <mergeCell ref="K22:M22"/>
    <mergeCell ref="F22:G22"/>
    <mergeCell ref="T20:Z20"/>
    <mergeCell ref="T22:Z22"/>
    <mergeCell ref="N20:P20"/>
    <mergeCell ref="Q20:S20"/>
    <mergeCell ref="F10:G10"/>
    <mergeCell ref="H10:J10"/>
    <mergeCell ref="K10:M10"/>
    <mergeCell ref="N10:P10"/>
    <mergeCell ref="Q10:S10"/>
    <mergeCell ref="T10:Z10"/>
    <mergeCell ref="Q22:S22"/>
    <mergeCell ref="Q21:S21"/>
    <mergeCell ref="N13:P13"/>
    <mergeCell ref="Q13:S13"/>
    <mergeCell ref="F20:G20"/>
    <mergeCell ref="H21:J21"/>
    <mergeCell ref="K28:M28"/>
    <mergeCell ref="K33:M33"/>
    <mergeCell ref="N27:P27"/>
    <mergeCell ref="H32:J32"/>
    <mergeCell ref="N47:P47"/>
    <mergeCell ref="Q47:S47"/>
    <mergeCell ref="I1:R1"/>
    <mergeCell ref="W1:X1"/>
    <mergeCell ref="Y1:AA1"/>
    <mergeCell ref="W3:X3"/>
    <mergeCell ref="Y3:AA3"/>
    <mergeCell ref="V4:X4"/>
    <mergeCell ref="Y4:AA4"/>
    <mergeCell ref="E4:M4"/>
    <mergeCell ref="O4:P4"/>
    <mergeCell ref="Q4:T4"/>
    <mergeCell ref="A3:U3"/>
    <mergeCell ref="C4:D4"/>
    <mergeCell ref="AA8:AA10"/>
    <mergeCell ref="F9:G9"/>
    <mergeCell ref="N22:P22"/>
    <mergeCell ref="X9:Z9"/>
    <mergeCell ref="T21:Z21"/>
    <mergeCell ref="H20:J20"/>
    <mergeCell ref="C35:D37"/>
    <mergeCell ref="C44:D45"/>
    <mergeCell ref="C32:D34"/>
    <mergeCell ref="F34:G34"/>
    <mergeCell ref="F32:G32"/>
    <mergeCell ref="F33:G33"/>
    <mergeCell ref="E67:Z67"/>
    <mergeCell ref="X65:Z65"/>
    <mergeCell ref="E69:J69"/>
    <mergeCell ref="P69:R69"/>
    <mergeCell ref="S69:W69"/>
    <mergeCell ref="H58:M58"/>
    <mergeCell ref="F56:G56"/>
    <mergeCell ref="K32:M32"/>
    <mergeCell ref="H33:J33"/>
    <mergeCell ref="C46:D47"/>
    <mergeCell ref="H41:M41"/>
    <mergeCell ref="H43:M43"/>
    <mergeCell ref="H44:M44"/>
    <mergeCell ref="H52:M52"/>
    <mergeCell ref="T52:Z52"/>
    <mergeCell ref="H47:M47"/>
    <mergeCell ref="W48:Z48"/>
    <mergeCell ref="T45:Z45"/>
    <mergeCell ref="C29:D31"/>
    <mergeCell ref="H27:J27"/>
    <mergeCell ref="F27:G27"/>
    <mergeCell ref="F57:G57"/>
    <mergeCell ref="F58:G58"/>
    <mergeCell ref="A53:E53"/>
    <mergeCell ref="F52:G52"/>
    <mergeCell ref="H42:J42"/>
    <mergeCell ref="H40:J40"/>
    <mergeCell ref="F46:G46"/>
    <mergeCell ref="F47:G47"/>
    <mergeCell ref="F42:G42"/>
    <mergeCell ref="C48:D48"/>
    <mergeCell ref="A56:D57"/>
    <mergeCell ref="H55:M55"/>
    <mergeCell ref="H56:M56"/>
    <mergeCell ref="H57:M57"/>
    <mergeCell ref="C42:D43"/>
    <mergeCell ref="C49:D49"/>
    <mergeCell ref="H29:J29"/>
    <mergeCell ref="C27:D28"/>
    <mergeCell ref="C50:D50"/>
    <mergeCell ref="F55:G55"/>
    <mergeCell ref="A58:D58"/>
    <mergeCell ref="G73:Z73"/>
    <mergeCell ref="F93:G93"/>
    <mergeCell ref="F94:G94"/>
    <mergeCell ref="X85:Y85"/>
    <mergeCell ref="X86:Y86"/>
    <mergeCell ref="X83:Y83"/>
    <mergeCell ref="X81:Y81"/>
    <mergeCell ref="C65:D65"/>
    <mergeCell ref="C71:F71"/>
    <mergeCell ref="R71:V71"/>
    <mergeCell ref="O81:P81"/>
    <mergeCell ref="G75:Z75"/>
    <mergeCell ref="W50:Z50"/>
    <mergeCell ref="Q37:S37"/>
    <mergeCell ref="F37:G37"/>
    <mergeCell ref="F45:G45"/>
    <mergeCell ref="H48:M48"/>
    <mergeCell ref="W49:Z49"/>
    <mergeCell ref="N50:P50"/>
    <mergeCell ref="Q50:S50"/>
    <mergeCell ref="T50:V50"/>
    <mergeCell ref="N46:P46"/>
    <mergeCell ref="W40:Z40"/>
    <mergeCell ref="R96:S96"/>
    <mergeCell ref="O92:P92"/>
    <mergeCell ref="R91:S91"/>
    <mergeCell ref="F109:G109"/>
    <mergeCell ref="F43:G43"/>
    <mergeCell ref="U60:V61"/>
    <mergeCell ref="X84:Y84"/>
    <mergeCell ref="H45:M45"/>
    <mergeCell ref="F85:G85"/>
    <mergeCell ref="F83:G83"/>
    <mergeCell ref="F84:G84"/>
    <mergeCell ref="F97:G97"/>
    <mergeCell ref="F98:G98"/>
    <mergeCell ref="F108:G108"/>
    <mergeCell ref="C73:F73"/>
    <mergeCell ref="F82:G82"/>
    <mergeCell ref="I91:J91"/>
    <mergeCell ref="C67:D67"/>
    <mergeCell ref="C69:D69"/>
    <mergeCell ref="C63:X63"/>
    <mergeCell ref="M71:Q71"/>
    <mergeCell ref="F49:G49"/>
    <mergeCell ref="F44:G44"/>
    <mergeCell ref="F50:G50"/>
    <mergeCell ref="X108:Y108"/>
    <mergeCell ref="N53:S53"/>
    <mergeCell ref="T53:Z53"/>
    <mergeCell ref="O97:P97"/>
    <mergeCell ref="X92:Y92"/>
    <mergeCell ref="X93:Y93"/>
    <mergeCell ref="X94:Y94"/>
    <mergeCell ref="N61:O61"/>
    <mergeCell ref="E65:O65"/>
    <mergeCell ref="Z63:AA63"/>
    <mergeCell ref="F95:G95"/>
    <mergeCell ref="I96:J96"/>
    <mergeCell ref="F99:G99"/>
    <mergeCell ref="X97:Y97"/>
    <mergeCell ref="X98:Y98"/>
    <mergeCell ref="O99:P99"/>
    <mergeCell ref="O86:P86"/>
    <mergeCell ref="O88:P88"/>
    <mergeCell ref="I61:J61"/>
    <mergeCell ref="G71:L71"/>
    <mergeCell ref="N58:S58"/>
    <mergeCell ref="T58:Z58"/>
    <mergeCell ref="N60:O60"/>
    <mergeCell ref="O93:P93"/>
    <mergeCell ref="T27:Z27"/>
    <mergeCell ref="N37:P37"/>
    <mergeCell ref="T65:V65"/>
    <mergeCell ref="X82:Y82"/>
    <mergeCell ref="N36:P36"/>
    <mergeCell ref="N35:P35"/>
    <mergeCell ref="P65:S65"/>
    <mergeCell ref="Q36:S36"/>
    <mergeCell ref="T33:Z33"/>
    <mergeCell ref="T37:Z37"/>
    <mergeCell ref="T35:Z35"/>
    <mergeCell ref="T36:Z36"/>
    <mergeCell ref="T34:Z34"/>
    <mergeCell ref="N29:P29"/>
    <mergeCell ref="Q29:S29"/>
    <mergeCell ref="Q43:S43"/>
    <mergeCell ref="N42:P42"/>
    <mergeCell ref="Q42:S42"/>
    <mergeCell ref="Q44:S44"/>
    <mergeCell ref="T44:V44"/>
    <mergeCell ref="T43:Z43"/>
    <mergeCell ref="N57:S57"/>
    <mergeCell ref="N52:S52"/>
    <mergeCell ref="P60:Q61"/>
    <mergeCell ref="AC88:AD88"/>
    <mergeCell ref="AB102:AD102"/>
    <mergeCell ref="W44:Z44"/>
    <mergeCell ref="W46:Z46"/>
    <mergeCell ref="AC35:AD35"/>
    <mergeCell ref="AC36:AD37"/>
    <mergeCell ref="AA44:AA45"/>
    <mergeCell ref="AA46:AA47"/>
    <mergeCell ref="O98:P98"/>
    <mergeCell ref="AC99:AD99"/>
    <mergeCell ref="AC87:AD87"/>
    <mergeCell ref="AA56:AA57"/>
    <mergeCell ref="AC48:AD48"/>
    <mergeCell ref="X99:Y99"/>
    <mergeCell ref="AB63:AD63"/>
    <mergeCell ref="AC49:AD50"/>
    <mergeCell ref="AC56:AD56"/>
    <mergeCell ref="Y38:AA38"/>
    <mergeCell ref="Q35:S35"/>
    <mergeCell ref="AA40:AA41"/>
    <mergeCell ref="W42:Z42"/>
    <mergeCell ref="AC57:AD58"/>
    <mergeCell ref="AC98:AD98"/>
    <mergeCell ref="AA42:AA43"/>
    <mergeCell ref="T28:Z28"/>
    <mergeCell ref="T57:Z57"/>
    <mergeCell ref="F31:G31"/>
    <mergeCell ref="H36:J36"/>
    <mergeCell ref="F30:G30"/>
    <mergeCell ref="H30:J30"/>
    <mergeCell ref="K30:M30"/>
    <mergeCell ref="N30:P30"/>
    <mergeCell ref="Q30:S30"/>
    <mergeCell ref="T30:Z30"/>
    <mergeCell ref="T47:Z47"/>
    <mergeCell ref="F53:G53"/>
    <mergeCell ref="N48:P48"/>
    <mergeCell ref="Q48:S48"/>
    <mergeCell ref="T48:V48"/>
    <mergeCell ref="N49:P49"/>
    <mergeCell ref="Q49:S49"/>
    <mergeCell ref="T49:V49"/>
    <mergeCell ref="N31:P31"/>
    <mergeCell ref="T46:V46"/>
    <mergeCell ref="Q34:S34"/>
    <mergeCell ref="K36:M36"/>
    <mergeCell ref="F40:G41"/>
    <mergeCell ref="F48:G48"/>
    <mergeCell ref="R102:V102"/>
    <mergeCell ref="I60:J60"/>
    <mergeCell ref="X103:AD103"/>
    <mergeCell ref="F92:G92"/>
    <mergeCell ref="AC19:AD20"/>
    <mergeCell ref="T42:V42"/>
    <mergeCell ref="Q46:S46"/>
    <mergeCell ref="H46:M46"/>
    <mergeCell ref="N45:P45"/>
    <mergeCell ref="Q45:S45"/>
    <mergeCell ref="O82:P82"/>
    <mergeCell ref="N55:S55"/>
    <mergeCell ref="T55:Z55"/>
    <mergeCell ref="K60:L61"/>
    <mergeCell ref="H49:M49"/>
    <mergeCell ref="H50:M50"/>
    <mergeCell ref="H53:M53"/>
    <mergeCell ref="S60:T61"/>
    <mergeCell ref="N56:S56"/>
    <mergeCell ref="T56:Z56"/>
    <mergeCell ref="T41:Z41"/>
    <mergeCell ref="T32:Z32"/>
    <mergeCell ref="N34:P34"/>
    <mergeCell ref="C75:F75"/>
    <mergeCell ref="AC12:AD12"/>
    <mergeCell ref="C15:D16"/>
    <mergeCell ref="H15:J15"/>
    <mergeCell ref="K15:M15"/>
    <mergeCell ref="N15:P15"/>
    <mergeCell ref="Q15:S15"/>
    <mergeCell ref="T15:Z15"/>
    <mergeCell ref="AC13:AD14"/>
    <mergeCell ref="F16:G16"/>
    <mergeCell ref="H16:J16"/>
    <mergeCell ref="C11:D14"/>
    <mergeCell ref="F11:G11"/>
    <mergeCell ref="H11:J11"/>
    <mergeCell ref="K11:M11"/>
    <mergeCell ref="N11:P11"/>
    <mergeCell ref="Q11:S11"/>
    <mergeCell ref="T11:Z11"/>
    <mergeCell ref="F12:G12"/>
    <mergeCell ref="H12:J12"/>
    <mergeCell ref="K12:M12"/>
    <mergeCell ref="N12:P12"/>
    <mergeCell ref="Q12:S12"/>
    <mergeCell ref="T12:Z12"/>
    <mergeCell ref="F13:G13"/>
    <mergeCell ref="AC18:AD18"/>
    <mergeCell ref="Q14:S14"/>
    <mergeCell ref="K14:M14"/>
    <mergeCell ref="N14:P14"/>
    <mergeCell ref="A18:D18"/>
    <mergeCell ref="F18:M18"/>
    <mergeCell ref="T13:Z13"/>
    <mergeCell ref="H14:J14"/>
    <mergeCell ref="T14:Z14"/>
    <mergeCell ref="N18:Z18"/>
    <mergeCell ref="H13:J13"/>
    <mergeCell ref="K13:M13"/>
    <mergeCell ref="Q16:S16"/>
    <mergeCell ref="T16:Z16"/>
    <mergeCell ref="F15:G15"/>
    <mergeCell ref="F14:G14"/>
    <mergeCell ref="K16:M16"/>
    <mergeCell ref="N16:P16"/>
    <mergeCell ref="T26:Z26"/>
    <mergeCell ref="N26:P26"/>
    <mergeCell ref="H28:J28"/>
    <mergeCell ref="K27:M27"/>
    <mergeCell ref="A11:B14"/>
    <mergeCell ref="F29:G29"/>
    <mergeCell ref="K37:M37"/>
    <mergeCell ref="T40:V40"/>
    <mergeCell ref="T29:Z29"/>
    <mergeCell ref="N32:P32"/>
    <mergeCell ref="H37:J37"/>
    <mergeCell ref="H34:J34"/>
    <mergeCell ref="K34:M34"/>
    <mergeCell ref="H35:J35"/>
    <mergeCell ref="C24:D26"/>
    <mergeCell ref="C20:D23"/>
    <mergeCell ref="F25:G25"/>
    <mergeCell ref="K29:M29"/>
    <mergeCell ref="H31:J31"/>
    <mergeCell ref="K31:M31"/>
    <mergeCell ref="Q31:S31"/>
    <mergeCell ref="T31:Z31"/>
    <mergeCell ref="Q32:S32"/>
    <mergeCell ref="W38:X38"/>
  </mergeCells>
  <phoneticPr fontId="7"/>
  <printOptions horizontalCentered="1"/>
  <pageMargins left="0.27559055118110237" right="0.27559055118110237" top="0.32" bottom="0.11811023622047245" header="0.43307086614173229" footer="0.15748031496062992"/>
  <pageSetup paperSize="9" scale="67" fitToHeight="0" orientation="landscape" r:id="rId1"/>
  <headerFooter alignWithMargins="0"/>
  <rowBreaks count="2" manualBreakCount="2">
    <brk id="37" max="29" man="1"/>
    <brk id="6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B2:V150"/>
  <sheetViews>
    <sheetView workbookViewId="0">
      <selection activeCell="C138" sqref="C138"/>
    </sheetView>
  </sheetViews>
  <sheetFormatPr defaultColWidth="10.44140625" defaultRowHeight="13.2" x14ac:dyDescent="0.2"/>
  <cols>
    <col min="1" max="1" width="2.21875" customWidth="1"/>
    <col min="2" max="2" width="10.88671875" customWidth="1"/>
    <col min="3" max="3" width="9" customWidth="1"/>
    <col min="4" max="4" width="9.88671875" bestFit="1" customWidth="1"/>
    <col min="5" max="5" width="12.33203125" bestFit="1" customWidth="1"/>
    <col min="6" max="6" width="13.6640625" bestFit="1" customWidth="1"/>
    <col min="7" max="7" width="10.6640625" customWidth="1"/>
    <col min="8" max="8" width="11.33203125" bestFit="1" customWidth="1"/>
    <col min="9" max="9" width="10.6640625" bestFit="1" customWidth="1"/>
    <col min="10" max="10" width="11.33203125" customWidth="1"/>
    <col min="11" max="11" width="10.33203125" customWidth="1"/>
    <col min="12" max="12" width="11.77734375" bestFit="1" customWidth="1"/>
    <col min="13" max="13" width="10.6640625" customWidth="1"/>
    <col min="14" max="14" width="9.88671875" customWidth="1"/>
    <col min="15" max="15" width="8.6640625" customWidth="1"/>
    <col min="16" max="16" width="10.88671875" bestFit="1" customWidth="1"/>
    <col min="17" max="17" width="8.6640625" customWidth="1"/>
    <col min="18" max="18" width="10.88671875" bestFit="1" customWidth="1"/>
    <col min="19" max="20" width="9.33203125" customWidth="1"/>
    <col min="21" max="22" width="8.6640625" customWidth="1"/>
    <col min="23" max="239" width="9" customWidth="1"/>
    <col min="240" max="240" width="2.21875" customWidth="1"/>
    <col min="241" max="242" width="9" customWidth="1"/>
    <col min="243" max="243" width="2.21875" customWidth="1"/>
    <col min="244" max="244" width="6" bestFit="1" customWidth="1"/>
    <col min="245" max="246" width="9.44140625" bestFit="1" customWidth="1"/>
    <col min="247" max="247" width="9" bestFit="1" customWidth="1"/>
    <col min="248" max="248" width="10.44140625" bestFit="1" customWidth="1"/>
    <col min="249" max="249" width="12.44140625" bestFit="1" customWidth="1"/>
    <col min="250" max="250" width="12.109375" bestFit="1" customWidth="1"/>
    <col min="251" max="251" width="14" bestFit="1" customWidth="1"/>
    <col min="252" max="252" width="12.109375" bestFit="1" customWidth="1"/>
    <col min="253" max="253" width="14" bestFit="1" customWidth="1"/>
    <col min="254" max="254" width="10.44140625" bestFit="1" customWidth="1"/>
    <col min="255" max="255" width="12.109375" bestFit="1" customWidth="1"/>
  </cols>
  <sheetData>
    <row r="2" spans="2:22" ht="18.75" customHeight="1" thickBot="1" x14ac:dyDescent="0.25">
      <c r="B2" s="69" t="s">
        <v>45</v>
      </c>
      <c r="D2" s="436" t="s">
        <v>404</v>
      </c>
      <c r="F2" s="1"/>
      <c r="G2" s="77" t="s">
        <v>311</v>
      </c>
      <c r="H2" s="438"/>
      <c r="I2" s="78" t="s">
        <v>407</v>
      </c>
      <c r="J2" s="76" t="s">
        <v>411</v>
      </c>
      <c r="K2" s="1"/>
      <c r="L2" t="s">
        <v>175</v>
      </c>
      <c r="V2" s="1"/>
    </row>
    <row r="3" spans="2:22" ht="14.4" thickTop="1" thickBot="1" x14ac:dyDescent="0.25">
      <c r="B3" s="21" t="s">
        <v>167</v>
      </c>
      <c r="D3" s="437">
        <v>3000</v>
      </c>
      <c r="G3" s="30" t="s">
        <v>163</v>
      </c>
      <c r="H3" s="439">
        <v>3000</v>
      </c>
      <c r="I3" s="442"/>
      <c r="J3" s="443"/>
      <c r="L3" t="s">
        <v>176</v>
      </c>
    </row>
    <row r="4" spans="2:22" ht="13.8" thickTop="1" x14ac:dyDescent="0.2">
      <c r="B4" s="21" t="s">
        <v>168</v>
      </c>
      <c r="G4" s="30" t="s">
        <v>157</v>
      </c>
      <c r="H4" s="440">
        <v>3000</v>
      </c>
      <c r="I4" s="444">
        <f>J4/2</f>
        <v>2000</v>
      </c>
      <c r="J4" s="445">
        <v>4000</v>
      </c>
      <c r="L4" t="s">
        <v>177</v>
      </c>
    </row>
    <row r="5" spans="2:22" x14ac:dyDescent="0.2">
      <c r="B5" s="21" t="s">
        <v>169</v>
      </c>
      <c r="D5" s="934" t="s">
        <v>405</v>
      </c>
      <c r="E5" s="935"/>
      <c r="G5" s="30" t="s">
        <v>158</v>
      </c>
      <c r="H5" s="440">
        <v>3500</v>
      </c>
      <c r="I5" s="446">
        <f>J5/2</f>
        <v>2250</v>
      </c>
      <c r="J5" s="447">
        <v>4500</v>
      </c>
      <c r="L5" t="s">
        <v>178</v>
      </c>
    </row>
    <row r="6" spans="2:22" ht="13.8" thickBot="1" x14ac:dyDescent="0.25">
      <c r="B6" s="21" t="s">
        <v>170</v>
      </c>
      <c r="D6" s="292" t="s">
        <v>406</v>
      </c>
      <c r="E6" s="293">
        <v>4000</v>
      </c>
      <c r="F6" s="294"/>
      <c r="G6" s="30" t="s">
        <v>159</v>
      </c>
      <c r="H6" s="441">
        <v>3500</v>
      </c>
      <c r="I6" s="448">
        <f>J6/2</f>
        <v>2250</v>
      </c>
      <c r="J6" s="449">
        <v>4500</v>
      </c>
      <c r="L6" t="s">
        <v>179</v>
      </c>
    </row>
    <row r="7" spans="2:22" ht="13.8" thickTop="1" x14ac:dyDescent="0.2">
      <c r="B7" s="21" t="s">
        <v>171</v>
      </c>
      <c r="D7" s="292" t="s">
        <v>410</v>
      </c>
      <c r="E7" s="295">
        <v>5000</v>
      </c>
      <c r="F7" s="294" t="s">
        <v>526</v>
      </c>
      <c r="J7" s="1"/>
      <c r="L7" s="25" t="s">
        <v>314</v>
      </c>
    </row>
    <row r="8" spans="2:22" ht="13.8" thickBot="1" x14ac:dyDescent="0.25">
      <c r="B8" s="21" t="s">
        <v>172</v>
      </c>
      <c r="D8" s="292" t="s">
        <v>408</v>
      </c>
      <c r="E8" s="293">
        <v>4000</v>
      </c>
      <c r="F8" s="294"/>
      <c r="G8" s="934" t="s">
        <v>648</v>
      </c>
      <c r="H8" s="936"/>
      <c r="M8" t="s">
        <v>180</v>
      </c>
    </row>
    <row r="9" spans="2:22" ht="13.8" thickTop="1" x14ac:dyDescent="0.2">
      <c r="B9" s="21" t="s">
        <v>173</v>
      </c>
      <c r="D9" s="292" t="s">
        <v>409</v>
      </c>
      <c r="E9" s="295">
        <v>5000</v>
      </c>
      <c r="F9" s="294" t="s">
        <v>526</v>
      </c>
      <c r="G9" s="450" t="s">
        <v>649</v>
      </c>
      <c r="H9" s="451">
        <v>2000</v>
      </c>
      <c r="L9" t="s">
        <v>181</v>
      </c>
    </row>
    <row r="10" spans="2:22" ht="13.8" thickBot="1" x14ac:dyDescent="0.25">
      <c r="B10" s="21" t="s">
        <v>174</v>
      </c>
      <c r="G10" s="450" t="s">
        <v>628</v>
      </c>
      <c r="H10" s="452">
        <v>2000</v>
      </c>
    </row>
    <row r="11" spans="2:22" ht="14.4" thickTop="1" thickBot="1" x14ac:dyDescent="0.25">
      <c r="D11" s="934" t="s">
        <v>412</v>
      </c>
      <c r="E11" s="936"/>
      <c r="L11" t="s">
        <v>182</v>
      </c>
    </row>
    <row r="12" spans="2:22" ht="14.4" thickTop="1" thickBot="1" x14ac:dyDescent="0.25">
      <c r="D12" s="450" t="s">
        <v>406</v>
      </c>
      <c r="E12" s="451">
        <v>4500</v>
      </c>
      <c r="G12" s="934" t="s">
        <v>665</v>
      </c>
      <c r="H12" s="936"/>
      <c r="L12" t="s">
        <v>183</v>
      </c>
    </row>
    <row r="13" spans="2:22" ht="14.4" thickTop="1" thickBot="1" x14ac:dyDescent="0.25">
      <c r="D13" s="450" t="s">
        <v>41</v>
      </c>
      <c r="E13" s="453">
        <v>6000</v>
      </c>
      <c r="F13" s="489" t="s">
        <v>837</v>
      </c>
      <c r="G13" s="488" t="s">
        <v>666</v>
      </c>
      <c r="H13" s="451">
        <v>4500</v>
      </c>
      <c r="L13" t="s">
        <v>184</v>
      </c>
    </row>
    <row r="14" spans="2:22" ht="14.4" thickTop="1" thickBot="1" x14ac:dyDescent="0.25">
      <c r="G14" s="450" t="s">
        <v>667</v>
      </c>
      <c r="H14" s="452">
        <v>6000</v>
      </c>
      <c r="I14">
        <v>3000</v>
      </c>
      <c r="J14" t="s">
        <v>712</v>
      </c>
      <c r="L14" t="s">
        <v>185</v>
      </c>
      <c r="M14" t="s">
        <v>186</v>
      </c>
    </row>
    <row r="15" spans="2:22" ht="13.8" thickTop="1" x14ac:dyDescent="0.2">
      <c r="M15" t="s">
        <v>187</v>
      </c>
    </row>
    <row r="16" spans="2:22" ht="13.8" thickBot="1" x14ac:dyDescent="0.25">
      <c r="G16" s="934" t="s">
        <v>727</v>
      </c>
      <c r="H16" s="936"/>
      <c r="M16" t="s">
        <v>188</v>
      </c>
    </row>
    <row r="17" spans="2:19" ht="13.5" customHeight="1" thickTop="1" thickBot="1" x14ac:dyDescent="0.25">
      <c r="G17" s="450"/>
      <c r="H17" s="487">
        <v>3000</v>
      </c>
      <c r="M17" t="s">
        <v>189</v>
      </c>
      <c r="S17" t="s">
        <v>192</v>
      </c>
    </row>
    <row r="18" spans="2:19" ht="13.8" thickTop="1" x14ac:dyDescent="0.2">
      <c r="M18" t="s">
        <v>190</v>
      </c>
    </row>
    <row r="19" spans="2:19" x14ac:dyDescent="0.2">
      <c r="M19" t="s">
        <v>191</v>
      </c>
    </row>
    <row r="21" spans="2:19" ht="25.5" customHeight="1" x14ac:dyDescent="0.2">
      <c r="B21" t="s">
        <v>300</v>
      </c>
    </row>
    <row r="22" spans="2:19" ht="13.8" thickBot="1" x14ac:dyDescent="0.25">
      <c r="B22" s="1">
        <v>1</v>
      </c>
      <c r="C22" s="1">
        <v>2</v>
      </c>
      <c r="D22" s="1">
        <v>3</v>
      </c>
      <c r="E22" s="1">
        <v>4</v>
      </c>
      <c r="F22" s="1">
        <v>5</v>
      </c>
      <c r="G22" s="1">
        <v>6</v>
      </c>
      <c r="H22" s="1">
        <v>7</v>
      </c>
      <c r="I22" s="1">
        <v>8</v>
      </c>
    </row>
    <row r="23" spans="2:19" ht="13.8" thickBot="1" x14ac:dyDescent="0.25">
      <c r="B23" s="28" t="s">
        <v>37</v>
      </c>
      <c r="C23" s="26" t="s">
        <v>393</v>
      </c>
      <c r="D23" s="27" t="s">
        <v>193</v>
      </c>
      <c r="E23" s="27" t="s">
        <v>194</v>
      </c>
      <c r="F23" s="27" t="s">
        <v>220</v>
      </c>
      <c r="G23" s="27" t="s">
        <v>221</v>
      </c>
      <c r="H23" s="94" t="s">
        <v>222</v>
      </c>
      <c r="I23" s="94" t="s">
        <v>509</v>
      </c>
    </row>
    <row r="24" spans="2:19" ht="14.25" customHeight="1" thickTop="1" x14ac:dyDescent="0.2">
      <c r="B24" s="23">
        <v>6</v>
      </c>
      <c r="C24" s="29">
        <v>6</v>
      </c>
      <c r="D24" s="17" t="s">
        <v>214</v>
      </c>
      <c r="E24" s="17" t="s">
        <v>196</v>
      </c>
      <c r="F24" s="17" t="s">
        <v>199</v>
      </c>
      <c r="G24" s="17" t="s">
        <v>200</v>
      </c>
      <c r="H24" s="17" t="s">
        <v>223</v>
      </c>
      <c r="I24" s="30" t="s">
        <v>510</v>
      </c>
    </row>
    <row r="25" spans="2:19" ht="13.5" customHeight="1" x14ac:dyDescent="0.2">
      <c r="B25" s="22">
        <v>7</v>
      </c>
      <c r="C25" s="29">
        <v>9</v>
      </c>
      <c r="D25" s="17" t="s">
        <v>215</v>
      </c>
      <c r="E25" s="17" t="s">
        <v>201</v>
      </c>
      <c r="F25" s="17" t="s">
        <v>202</v>
      </c>
      <c r="G25" s="17" t="s">
        <v>203</v>
      </c>
      <c r="H25" s="17" t="s">
        <v>224</v>
      </c>
      <c r="I25" s="30" t="s">
        <v>511</v>
      </c>
    </row>
    <row r="26" spans="2:19" ht="14.25" customHeight="1" x14ac:dyDescent="0.2">
      <c r="B26" s="23">
        <v>8</v>
      </c>
      <c r="C26" s="29">
        <v>9</v>
      </c>
      <c r="D26" s="17" t="s">
        <v>215</v>
      </c>
      <c r="E26" s="17" t="s">
        <v>201</v>
      </c>
      <c r="F26" s="17" t="s">
        <v>202</v>
      </c>
      <c r="G26" s="17" t="s">
        <v>203</v>
      </c>
      <c r="H26" s="17" t="s">
        <v>224</v>
      </c>
      <c r="I26" s="30" t="s">
        <v>511</v>
      </c>
    </row>
    <row r="27" spans="2:19" ht="14.25" customHeight="1" x14ac:dyDescent="0.2">
      <c r="B27" s="23">
        <v>9</v>
      </c>
      <c r="C27" s="29">
        <v>9</v>
      </c>
      <c r="D27" s="17" t="s">
        <v>215</v>
      </c>
      <c r="E27" s="17" t="s">
        <v>201</v>
      </c>
      <c r="F27" s="17" t="s">
        <v>202</v>
      </c>
      <c r="G27" s="17" t="s">
        <v>203</v>
      </c>
      <c r="H27" s="17" t="s">
        <v>224</v>
      </c>
      <c r="I27" s="30" t="s">
        <v>511</v>
      </c>
    </row>
    <row r="28" spans="2:19" ht="13.5" customHeight="1" x14ac:dyDescent="0.2">
      <c r="B28" s="23">
        <v>10</v>
      </c>
      <c r="C28" s="29">
        <v>12</v>
      </c>
      <c r="D28" s="17" t="s">
        <v>216</v>
      </c>
      <c r="E28" s="17" t="s">
        <v>197</v>
      </c>
      <c r="F28" s="17" t="s">
        <v>204</v>
      </c>
      <c r="G28" s="17" t="s">
        <v>205</v>
      </c>
      <c r="H28" s="17" t="s">
        <v>225</v>
      </c>
      <c r="I28" s="30" t="s">
        <v>512</v>
      </c>
    </row>
    <row r="29" spans="2:19" ht="14.25" customHeight="1" x14ac:dyDescent="0.2">
      <c r="B29" s="23">
        <v>11</v>
      </c>
      <c r="C29" s="29">
        <v>12</v>
      </c>
      <c r="D29" s="17" t="s">
        <v>216</v>
      </c>
      <c r="E29" s="17" t="s">
        <v>197</v>
      </c>
      <c r="F29" s="17" t="s">
        <v>204</v>
      </c>
      <c r="G29" s="17" t="s">
        <v>205</v>
      </c>
      <c r="H29" s="17" t="s">
        <v>225</v>
      </c>
      <c r="I29" s="30" t="s">
        <v>512</v>
      </c>
    </row>
    <row r="30" spans="2:19" ht="14.25" customHeight="1" x14ac:dyDescent="0.2">
      <c r="B30" s="23">
        <v>12</v>
      </c>
      <c r="C30" s="29">
        <v>12</v>
      </c>
      <c r="D30" s="17" t="s">
        <v>216</v>
      </c>
      <c r="E30" s="17" t="s">
        <v>197</v>
      </c>
      <c r="F30" s="17" t="s">
        <v>204</v>
      </c>
      <c r="G30" s="17" t="s">
        <v>205</v>
      </c>
      <c r="H30" s="17" t="s">
        <v>225</v>
      </c>
      <c r="I30" s="30" t="s">
        <v>512</v>
      </c>
    </row>
    <row r="31" spans="2:19" ht="13.5" customHeight="1" x14ac:dyDescent="0.2">
      <c r="B31" s="23">
        <v>13</v>
      </c>
      <c r="C31" s="29">
        <v>15</v>
      </c>
      <c r="D31" s="17" t="s">
        <v>217</v>
      </c>
      <c r="E31" s="17" t="s">
        <v>198</v>
      </c>
      <c r="F31" s="17" t="s">
        <v>206</v>
      </c>
      <c r="G31" s="17" t="s">
        <v>207</v>
      </c>
      <c r="H31" s="17" t="s">
        <v>226</v>
      </c>
      <c r="I31" s="30" t="s">
        <v>513</v>
      </c>
    </row>
    <row r="32" spans="2:19" ht="14.25" customHeight="1" x14ac:dyDescent="0.2">
      <c r="B32" s="23">
        <v>14</v>
      </c>
      <c r="C32" s="29">
        <v>15</v>
      </c>
      <c r="D32" s="17" t="s">
        <v>217</v>
      </c>
      <c r="E32" s="17" t="s">
        <v>198</v>
      </c>
      <c r="F32" s="17" t="s">
        <v>206</v>
      </c>
      <c r="G32" s="17" t="s">
        <v>207</v>
      </c>
      <c r="H32" s="17" t="s">
        <v>226</v>
      </c>
      <c r="I32" s="30" t="s">
        <v>513</v>
      </c>
    </row>
    <row r="33" spans="2:21" ht="14.25" customHeight="1" x14ac:dyDescent="0.2">
      <c r="B33" s="23">
        <v>15</v>
      </c>
      <c r="C33" s="29">
        <v>15</v>
      </c>
      <c r="D33" s="17" t="s">
        <v>217</v>
      </c>
      <c r="E33" s="17" t="s">
        <v>198</v>
      </c>
      <c r="F33" s="17" t="s">
        <v>206</v>
      </c>
      <c r="G33" s="17" t="s">
        <v>207</v>
      </c>
      <c r="H33" s="17" t="s">
        <v>226</v>
      </c>
      <c r="I33" s="30" t="s">
        <v>513</v>
      </c>
    </row>
    <row r="34" spans="2:21" ht="13.5" customHeight="1" x14ac:dyDescent="0.2">
      <c r="B34" s="23">
        <v>16</v>
      </c>
      <c r="C34" s="29">
        <v>18</v>
      </c>
      <c r="D34" s="17" t="s">
        <v>218</v>
      </c>
      <c r="E34" s="17" t="s">
        <v>208</v>
      </c>
      <c r="F34" s="17" t="s">
        <v>209</v>
      </c>
      <c r="G34" s="17" t="s">
        <v>210</v>
      </c>
      <c r="H34" s="17" t="s">
        <v>227</v>
      </c>
      <c r="I34" s="30" t="s">
        <v>514</v>
      </c>
    </row>
    <row r="35" spans="2:21" ht="14.25" customHeight="1" x14ac:dyDescent="0.2">
      <c r="B35" s="23">
        <v>17</v>
      </c>
      <c r="C35" s="29">
        <v>18</v>
      </c>
      <c r="D35" s="17" t="s">
        <v>218</v>
      </c>
      <c r="E35" s="17" t="s">
        <v>208</v>
      </c>
      <c r="F35" s="17" t="s">
        <v>209</v>
      </c>
      <c r="G35" s="17" t="s">
        <v>210</v>
      </c>
      <c r="H35" s="17" t="s">
        <v>227</v>
      </c>
      <c r="I35" s="30" t="s">
        <v>514</v>
      </c>
    </row>
    <row r="36" spans="2:21" ht="14.25" customHeight="1" x14ac:dyDescent="0.2">
      <c r="B36" s="23">
        <v>18</v>
      </c>
      <c r="C36" s="29">
        <v>18</v>
      </c>
      <c r="D36" s="17" t="s">
        <v>218</v>
      </c>
      <c r="E36" s="17" t="s">
        <v>208</v>
      </c>
      <c r="F36" s="17" t="s">
        <v>209</v>
      </c>
      <c r="G36" s="17" t="s">
        <v>210</v>
      </c>
      <c r="H36" s="17" t="s">
        <v>227</v>
      </c>
      <c r="I36" s="30" t="s">
        <v>514</v>
      </c>
    </row>
    <row r="37" spans="2:21" ht="13.5" customHeight="1" x14ac:dyDescent="0.2">
      <c r="B37" s="23">
        <v>19</v>
      </c>
      <c r="C37" s="29">
        <v>19</v>
      </c>
      <c r="D37" s="17" t="s">
        <v>219</v>
      </c>
      <c r="E37" s="17" t="s">
        <v>211</v>
      </c>
      <c r="F37" s="17" t="s">
        <v>212</v>
      </c>
      <c r="G37" s="17" t="s">
        <v>213</v>
      </c>
      <c r="H37" s="17" t="s">
        <v>228</v>
      </c>
      <c r="I37" s="30" t="s">
        <v>515</v>
      </c>
    </row>
    <row r="38" spans="2:21" ht="13.5" customHeight="1" x14ac:dyDescent="0.2">
      <c r="B38" s="23">
        <v>20</v>
      </c>
      <c r="C38" s="29">
        <v>19</v>
      </c>
      <c r="D38" s="17" t="s">
        <v>219</v>
      </c>
      <c r="E38" s="17" t="s">
        <v>211</v>
      </c>
      <c r="F38" s="17" t="s">
        <v>212</v>
      </c>
      <c r="G38" s="17" t="s">
        <v>213</v>
      </c>
      <c r="H38" s="17" t="s">
        <v>228</v>
      </c>
      <c r="I38" s="30" t="s">
        <v>515</v>
      </c>
    </row>
    <row r="39" spans="2:21" ht="13.5" customHeight="1" x14ac:dyDescent="0.2">
      <c r="B39" s="23">
        <v>21</v>
      </c>
      <c r="C39" s="29">
        <v>19</v>
      </c>
      <c r="D39" s="17" t="s">
        <v>219</v>
      </c>
      <c r="E39" s="17" t="s">
        <v>211</v>
      </c>
      <c r="F39" s="17" t="s">
        <v>212</v>
      </c>
      <c r="G39" s="17" t="s">
        <v>213</v>
      </c>
      <c r="H39" s="17" t="s">
        <v>228</v>
      </c>
      <c r="I39" s="30" t="s">
        <v>515</v>
      </c>
    </row>
    <row r="40" spans="2:21" ht="13.5" customHeight="1" x14ac:dyDescent="0.2">
      <c r="B40" s="23">
        <v>22</v>
      </c>
      <c r="C40" s="29">
        <v>19</v>
      </c>
      <c r="D40" s="17" t="s">
        <v>219</v>
      </c>
      <c r="E40" s="17" t="s">
        <v>211</v>
      </c>
      <c r="F40" s="17" t="s">
        <v>212</v>
      </c>
      <c r="G40" s="17" t="s">
        <v>213</v>
      </c>
      <c r="H40" s="17" t="s">
        <v>228</v>
      </c>
      <c r="I40" s="30" t="s">
        <v>515</v>
      </c>
    </row>
    <row r="41" spans="2:21" ht="13.5" customHeight="1" thickBot="1" x14ac:dyDescent="0.25">
      <c r="B41" s="24">
        <v>23</v>
      </c>
      <c r="C41" s="29">
        <v>19</v>
      </c>
      <c r="D41" s="17" t="s">
        <v>219</v>
      </c>
      <c r="E41" s="17" t="s">
        <v>211</v>
      </c>
      <c r="F41" s="17" t="s">
        <v>212</v>
      </c>
      <c r="G41" s="17" t="s">
        <v>213</v>
      </c>
      <c r="H41" s="17" t="s">
        <v>228</v>
      </c>
      <c r="I41" s="30" t="s">
        <v>515</v>
      </c>
    </row>
    <row r="42" spans="2:21" ht="13.5" customHeight="1" x14ac:dyDescent="0.2"/>
    <row r="43" spans="2:21" ht="27.75" customHeight="1" x14ac:dyDescent="0.2">
      <c r="B43" t="s">
        <v>301</v>
      </c>
      <c r="D43" s="81">
        <v>3</v>
      </c>
      <c r="E43" s="81">
        <v>4</v>
      </c>
      <c r="F43" s="81">
        <v>5</v>
      </c>
      <c r="G43" s="81">
        <v>6</v>
      </c>
      <c r="H43" s="81">
        <v>7</v>
      </c>
      <c r="I43" s="81">
        <v>8</v>
      </c>
      <c r="J43" s="81">
        <v>9</v>
      </c>
      <c r="K43" s="81">
        <v>10</v>
      </c>
      <c r="L43" s="81">
        <v>11</v>
      </c>
      <c r="M43" s="81">
        <v>12</v>
      </c>
      <c r="N43" s="81">
        <v>13</v>
      </c>
      <c r="O43" s="81">
        <v>14</v>
      </c>
      <c r="P43" s="81">
        <v>15</v>
      </c>
      <c r="Q43" s="81">
        <v>16</v>
      </c>
      <c r="R43" s="81">
        <v>17</v>
      </c>
      <c r="S43" s="81">
        <v>18</v>
      </c>
      <c r="T43" s="81">
        <v>19</v>
      </c>
      <c r="U43" s="81">
        <v>20</v>
      </c>
    </row>
    <row r="44" spans="2:21" ht="13.8" thickBot="1" x14ac:dyDescent="0.25">
      <c r="B44" s="1">
        <v>1</v>
      </c>
      <c r="C44" s="1">
        <v>2</v>
      </c>
      <c r="D44" s="933" t="s">
        <v>21</v>
      </c>
      <c r="E44" s="933"/>
      <c r="F44" s="933"/>
      <c r="G44" s="933"/>
      <c r="H44" s="933" t="s">
        <v>24</v>
      </c>
      <c r="I44" s="933"/>
      <c r="J44" s="933"/>
      <c r="K44" s="933" t="s">
        <v>39</v>
      </c>
      <c r="L44" s="933"/>
      <c r="M44" s="933" t="s">
        <v>25</v>
      </c>
      <c r="N44" s="933"/>
      <c r="O44" s="933"/>
      <c r="P44" s="933" t="s">
        <v>40</v>
      </c>
      <c r="Q44" s="933"/>
      <c r="R44" s="933"/>
      <c r="S44" s="933" t="s">
        <v>41</v>
      </c>
      <c r="T44" s="933"/>
      <c r="U44" s="933"/>
    </row>
    <row r="45" spans="2:21" ht="13.8" thickBot="1" x14ac:dyDescent="0.25">
      <c r="B45" s="28" t="s">
        <v>37</v>
      </c>
      <c r="C45" s="26" t="s">
        <v>393</v>
      </c>
      <c r="D45" s="80" t="s">
        <v>54</v>
      </c>
      <c r="E45" s="80" t="s">
        <v>56</v>
      </c>
      <c r="F45" s="80" t="s">
        <v>58</v>
      </c>
      <c r="G45" s="80" t="s">
        <v>60</v>
      </c>
      <c r="H45" s="80" t="s">
        <v>56</v>
      </c>
      <c r="I45" s="80" t="s">
        <v>58</v>
      </c>
      <c r="J45" s="80" t="s">
        <v>60</v>
      </c>
      <c r="K45" s="80" t="s">
        <v>56</v>
      </c>
      <c r="L45" s="80" t="s">
        <v>60</v>
      </c>
      <c r="M45" s="80" t="s">
        <v>56</v>
      </c>
      <c r="N45" s="80" t="s">
        <v>58</v>
      </c>
      <c r="O45" s="80" t="s">
        <v>60</v>
      </c>
      <c r="P45" s="80" t="s">
        <v>56</v>
      </c>
      <c r="Q45" s="80" t="s">
        <v>58</v>
      </c>
      <c r="R45" s="80" t="s">
        <v>60</v>
      </c>
      <c r="S45" s="80" t="s">
        <v>56</v>
      </c>
      <c r="T45" s="80" t="s">
        <v>58</v>
      </c>
      <c r="U45" s="80" t="s">
        <v>60</v>
      </c>
    </row>
    <row r="46" spans="2:21" ht="13.8" thickTop="1" x14ac:dyDescent="0.2">
      <c r="B46" s="23">
        <v>6</v>
      </c>
      <c r="C46" s="70" t="s">
        <v>394</v>
      </c>
      <c r="D46" s="20" t="s">
        <v>414</v>
      </c>
      <c r="E46" s="20" t="s">
        <v>420</v>
      </c>
      <c r="F46" s="20" t="s">
        <v>426</v>
      </c>
      <c r="G46" s="20" t="s">
        <v>432</v>
      </c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</row>
    <row r="47" spans="2:21" x14ac:dyDescent="0.2">
      <c r="B47" s="22">
        <v>7</v>
      </c>
      <c r="C47" s="70" t="s">
        <v>395</v>
      </c>
      <c r="D47" s="20" t="s">
        <v>415</v>
      </c>
      <c r="E47" s="20" t="s">
        <v>421</v>
      </c>
      <c r="F47" s="20" t="s">
        <v>427</v>
      </c>
      <c r="G47" s="20" t="s">
        <v>433</v>
      </c>
      <c r="H47" s="20" t="s">
        <v>527</v>
      </c>
      <c r="I47" s="20" t="s">
        <v>528</v>
      </c>
      <c r="J47" s="20" t="s">
        <v>529</v>
      </c>
      <c r="K47" s="20" t="s">
        <v>530</v>
      </c>
      <c r="L47" s="20" t="s">
        <v>531</v>
      </c>
      <c r="M47" s="20" t="s">
        <v>532</v>
      </c>
      <c r="N47" s="20" t="s">
        <v>533</v>
      </c>
      <c r="O47" s="20" t="s">
        <v>534</v>
      </c>
      <c r="P47" s="20" t="s">
        <v>535</v>
      </c>
      <c r="Q47" s="20" t="s">
        <v>536</v>
      </c>
      <c r="R47" s="20" t="s">
        <v>537</v>
      </c>
      <c r="S47" s="20" t="s">
        <v>586</v>
      </c>
      <c r="T47" s="20" t="s">
        <v>588</v>
      </c>
      <c r="U47" s="20" t="s">
        <v>590</v>
      </c>
    </row>
    <row r="48" spans="2:21" x14ac:dyDescent="0.2">
      <c r="B48" s="23">
        <v>8</v>
      </c>
      <c r="C48" s="70" t="s">
        <v>395</v>
      </c>
      <c r="D48" s="20" t="s">
        <v>415</v>
      </c>
      <c r="E48" s="20" t="s">
        <v>421</v>
      </c>
      <c r="F48" s="20" t="s">
        <v>427</v>
      </c>
      <c r="G48" s="20" t="s">
        <v>433</v>
      </c>
      <c r="H48" s="20" t="s">
        <v>527</v>
      </c>
      <c r="I48" s="20" t="s">
        <v>528</v>
      </c>
      <c r="J48" s="20" t="s">
        <v>529</v>
      </c>
      <c r="K48" s="20" t="s">
        <v>530</v>
      </c>
      <c r="L48" s="20" t="s">
        <v>531</v>
      </c>
      <c r="M48" s="20" t="s">
        <v>532</v>
      </c>
      <c r="N48" s="20" t="s">
        <v>533</v>
      </c>
      <c r="O48" s="20" t="s">
        <v>534</v>
      </c>
      <c r="P48" s="20" t="s">
        <v>535</v>
      </c>
      <c r="Q48" s="20" t="s">
        <v>536</v>
      </c>
      <c r="R48" s="20" t="s">
        <v>537</v>
      </c>
      <c r="S48" s="20" t="s">
        <v>587</v>
      </c>
      <c r="T48" s="20" t="s">
        <v>589</v>
      </c>
      <c r="U48" s="20" t="s">
        <v>590</v>
      </c>
    </row>
    <row r="49" spans="2:21" x14ac:dyDescent="0.2">
      <c r="B49" s="23">
        <v>9</v>
      </c>
      <c r="C49" s="70" t="s">
        <v>395</v>
      </c>
      <c r="D49" s="20" t="s">
        <v>415</v>
      </c>
      <c r="E49" s="20" t="s">
        <v>421</v>
      </c>
      <c r="F49" s="20" t="s">
        <v>427</v>
      </c>
      <c r="G49" s="20" t="s">
        <v>433</v>
      </c>
      <c r="H49" s="20" t="s">
        <v>527</v>
      </c>
      <c r="I49" s="20" t="s">
        <v>528</v>
      </c>
      <c r="J49" s="20" t="s">
        <v>529</v>
      </c>
      <c r="K49" s="20" t="s">
        <v>530</v>
      </c>
      <c r="L49" s="20" t="s">
        <v>531</v>
      </c>
      <c r="M49" s="20" t="s">
        <v>532</v>
      </c>
      <c r="N49" s="20" t="s">
        <v>533</v>
      </c>
      <c r="O49" s="20" t="s">
        <v>534</v>
      </c>
      <c r="P49" s="20" t="s">
        <v>535</v>
      </c>
      <c r="Q49" s="20" t="s">
        <v>536</v>
      </c>
      <c r="R49" s="20" t="s">
        <v>537</v>
      </c>
      <c r="S49" s="20" t="s">
        <v>587</v>
      </c>
      <c r="T49" s="20" t="s">
        <v>588</v>
      </c>
      <c r="U49" s="20" t="s">
        <v>590</v>
      </c>
    </row>
    <row r="50" spans="2:21" x14ac:dyDescent="0.2">
      <c r="B50" s="23">
        <v>10</v>
      </c>
      <c r="C50" s="70">
        <v>12</v>
      </c>
      <c r="D50" s="20" t="s">
        <v>416</v>
      </c>
      <c r="E50" s="20" t="s">
        <v>422</v>
      </c>
      <c r="F50" s="20" t="s">
        <v>428</v>
      </c>
      <c r="G50" s="20" t="s">
        <v>434</v>
      </c>
      <c r="H50" s="20" t="s">
        <v>438</v>
      </c>
      <c r="I50" s="20" t="s">
        <v>439</v>
      </c>
      <c r="J50" s="20" t="s">
        <v>440</v>
      </c>
      <c r="K50" s="20" t="s">
        <v>450</v>
      </c>
      <c r="L50" s="20" t="s">
        <v>451</v>
      </c>
      <c r="M50" s="20" t="s">
        <v>470</v>
      </c>
      <c r="N50" s="20" t="s">
        <v>471</v>
      </c>
      <c r="O50" s="20" t="s">
        <v>472</v>
      </c>
      <c r="P50" s="20" t="s">
        <v>482</v>
      </c>
      <c r="Q50" s="20" t="s">
        <v>483</v>
      </c>
      <c r="R50" s="20" t="s">
        <v>484</v>
      </c>
      <c r="S50" s="20" t="s">
        <v>458</v>
      </c>
      <c r="T50" s="20" t="s">
        <v>459</v>
      </c>
      <c r="U50" s="20" t="s">
        <v>460</v>
      </c>
    </row>
    <row r="51" spans="2:21" x14ac:dyDescent="0.2">
      <c r="B51" s="23">
        <v>11</v>
      </c>
      <c r="C51" s="70">
        <v>12</v>
      </c>
      <c r="D51" s="20" t="s">
        <v>416</v>
      </c>
      <c r="E51" s="20" t="s">
        <v>422</v>
      </c>
      <c r="F51" s="20" t="s">
        <v>428</v>
      </c>
      <c r="G51" s="20" t="s">
        <v>434</v>
      </c>
      <c r="H51" s="20" t="s">
        <v>438</v>
      </c>
      <c r="I51" s="20" t="s">
        <v>439</v>
      </c>
      <c r="J51" s="20" t="s">
        <v>440</v>
      </c>
      <c r="K51" s="20" t="s">
        <v>450</v>
      </c>
      <c r="L51" s="20" t="s">
        <v>451</v>
      </c>
      <c r="M51" s="20" t="s">
        <v>470</v>
      </c>
      <c r="N51" s="20" t="s">
        <v>471</v>
      </c>
      <c r="O51" s="20" t="s">
        <v>472</v>
      </c>
      <c r="P51" s="20" t="s">
        <v>482</v>
      </c>
      <c r="Q51" s="20" t="s">
        <v>483</v>
      </c>
      <c r="R51" s="20" t="s">
        <v>484</v>
      </c>
      <c r="S51" s="20" t="s">
        <v>458</v>
      </c>
      <c r="T51" s="20" t="s">
        <v>459</v>
      </c>
      <c r="U51" s="20" t="s">
        <v>460</v>
      </c>
    </row>
    <row r="52" spans="2:21" x14ac:dyDescent="0.2">
      <c r="B52" s="23">
        <v>12</v>
      </c>
      <c r="C52" s="70">
        <v>12</v>
      </c>
      <c r="D52" s="20" t="s">
        <v>416</v>
      </c>
      <c r="E52" s="20" t="s">
        <v>422</v>
      </c>
      <c r="F52" s="20" t="s">
        <v>428</v>
      </c>
      <c r="G52" s="20" t="s">
        <v>434</v>
      </c>
      <c r="H52" s="20" t="s">
        <v>438</v>
      </c>
      <c r="I52" s="20" t="s">
        <v>439</v>
      </c>
      <c r="J52" s="20" t="s">
        <v>440</v>
      </c>
      <c r="K52" s="20" t="s">
        <v>450</v>
      </c>
      <c r="L52" s="20" t="s">
        <v>451</v>
      </c>
      <c r="M52" s="20" t="s">
        <v>470</v>
      </c>
      <c r="N52" s="20" t="s">
        <v>471</v>
      </c>
      <c r="O52" s="20" t="s">
        <v>472</v>
      </c>
      <c r="P52" s="20" t="s">
        <v>482</v>
      </c>
      <c r="Q52" s="20" t="s">
        <v>483</v>
      </c>
      <c r="R52" s="20" t="s">
        <v>484</v>
      </c>
      <c r="S52" s="20" t="s">
        <v>458</v>
      </c>
      <c r="T52" s="20" t="s">
        <v>459</v>
      </c>
      <c r="U52" s="20" t="s">
        <v>460</v>
      </c>
    </row>
    <row r="53" spans="2:21" x14ac:dyDescent="0.2">
      <c r="B53" s="23">
        <v>13</v>
      </c>
      <c r="C53" s="70">
        <v>15</v>
      </c>
      <c r="D53" s="20" t="s">
        <v>417</v>
      </c>
      <c r="E53" s="20" t="s">
        <v>423</v>
      </c>
      <c r="F53" s="20" t="s">
        <v>429</v>
      </c>
      <c r="G53" s="20" t="s">
        <v>435</v>
      </c>
      <c r="H53" s="20" t="s">
        <v>441</v>
      </c>
      <c r="I53" s="20" t="s">
        <v>442</v>
      </c>
      <c r="J53" s="20" t="s">
        <v>443</v>
      </c>
      <c r="K53" s="20" t="s">
        <v>452</v>
      </c>
      <c r="L53" s="20" t="s">
        <v>453</v>
      </c>
      <c r="M53" s="20" t="s">
        <v>473</v>
      </c>
      <c r="N53" s="20" t="s">
        <v>474</v>
      </c>
      <c r="O53" s="20" t="s">
        <v>475</v>
      </c>
      <c r="P53" s="20" t="s">
        <v>485</v>
      </c>
      <c r="Q53" s="20" t="s">
        <v>486</v>
      </c>
      <c r="R53" s="20" t="s">
        <v>487</v>
      </c>
      <c r="S53" s="20" t="s">
        <v>461</v>
      </c>
      <c r="T53" s="20" t="s">
        <v>462</v>
      </c>
      <c r="U53" s="20" t="s">
        <v>463</v>
      </c>
    </row>
    <row r="54" spans="2:21" x14ac:dyDescent="0.2">
      <c r="B54" s="23">
        <v>14</v>
      </c>
      <c r="C54" s="70">
        <v>15</v>
      </c>
      <c r="D54" s="20" t="s">
        <v>417</v>
      </c>
      <c r="E54" s="20" t="s">
        <v>423</v>
      </c>
      <c r="F54" s="20" t="s">
        <v>429</v>
      </c>
      <c r="G54" s="20" t="s">
        <v>435</v>
      </c>
      <c r="H54" s="20" t="s">
        <v>441</v>
      </c>
      <c r="I54" s="20" t="s">
        <v>442</v>
      </c>
      <c r="J54" s="20" t="s">
        <v>443</v>
      </c>
      <c r="K54" s="20" t="s">
        <v>452</v>
      </c>
      <c r="L54" s="20" t="s">
        <v>453</v>
      </c>
      <c r="M54" s="20" t="s">
        <v>473</v>
      </c>
      <c r="N54" s="20" t="s">
        <v>474</v>
      </c>
      <c r="O54" s="20" t="s">
        <v>475</v>
      </c>
      <c r="P54" s="20" t="s">
        <v>485</v>
      </c>
      <c r="Q54" s="20" t="s">
        <v>486</v>
      </c>
      <c r="R54" s="20" t="s">
        <v>487</v>
      </c>
      <c r="S54" s="20" t="s">
        <v>461</v>
      </c>
      <c r="T54" s="20" t="s">
        <v>462</v>
      </c>
      <c r="U54" s="20" t="s">
        <v>463</v>
      </c>
    </row>
    <row r="55" spans="2:21" x14ac:dyDescent="0.2">
      <c r="B55" s="23">
        <v>15</v>
      </c>
      <c r="C55" s="70">
        <v>15</v>
      </c>
      <c r="D55" s="20" t="s">
        <v>417</v>
      </c>
      <c r="E55" s="20" t="s">
        <v>423</v>
      </c>
      <c r="F55" s="20" t="s">
        <v>429</v>
      </c>
      <c r="G55" s="20" t="s">
        <v>435</v>
      </c>
      <c r="H55" s="20" t="s">
        <v>441</v>
      </c>
      <c r="I55" s="20" t="s">
        <v>442</v>
      </c>
      <c r="J55" s="20" t="s">
        <v>443</v>
      </c>
      <c r="K55" s="20" t="s">
        <v>452</v>
      </c>
      <c r="L55" s="20" t="s">
        <v>453</v>
      </c>
      <c r="M55" s="20" t="s">
        <v>473</v>
      </c>
      <c r="N55" s="20" t="s">
        <v>474</v>
      </c>
      <c r="O55" s="20" t="s">
        <v>475</v>
      </c>
      <c r="P55" s="20" t="s">
        <v>485</v>
      </c>
      <c r="Q55" s="20" t="s">
        <v>486</v>
      </c>
      <c r="R55" s="20" t="s">
        <v>487</v>
      </c>
      <c r="S55" s="20" t="s">
        <v>461</v>
      </c>
      <c r="T55" s="20" t="s">
        <v>462</v>
      </c>
      <c r="U55" s="20" t="s">
        <v>463</v>
      </c>
    </row>
    <row r="56" spans="2:21" x14ac:dyDescent="0.2">
      <c r="B56" s="23">
        <v>16</v>
      </c>
      <c r="C56" s="70">
        <v>18</v>
      </c>
      <c r="D56" s="20" t="s">
        <v>418</v>
      </c>
      <c r="E56" s="20" t="s">
        <v>424</v>
      </c>
      <c r="F56" s="20" t="s">
        <v>430</v>
      </c>
      <c r="G56" s="20" t="s">
        <v>436</v>
      </c>
      <c r="H56" s="20" t="s">
        <v>444</v>
      </c>
      <c r="I56" s="20" t="s">
        <v>445</v>
      </c>
      <c r="J56" s="20" t="s">
        <v>446</v>
      </c>
      <c r="K56" s="20" t="s">
        <v>454</v>
      </c>
      <c r="L56" s="20" t="s">
        <v>455</v>
      </c>
      <c r="M56" s="20" t="s">
        <v>476</v>
      </c>
      <c r="N56" s="20" t="s">
        <v>477</v>
      </c>
      <c r="O56" s="20" t="s">
        <v>478</v>
      </c>
      <c r="P56" s="20" t="s">
        <v>488</v>
      </c>
      <c r="Q56" s="20" t="s">
        <v>489</v>
      </c>
      <c r="R56" s="20" t="s">
        <v>490</v>
      </c>
      <c r="S56" s="20" t="s">
        <v>464</v>
      </c>
      <c r="T56" s="20" t="s">
        <v>465</v>
      </c>
      <c r="U56" s="20" t="s">
        <v>466</v>
      </c>
    </row>
    <row r="57" spans="2:21" x14ac:dyDescent="0.2">
      <c r="B57" s="23">
        <v>17</v>
      </c>
      <c r="C57" s="70">
        <v>18</v>
      </c>
      <c r="D57" s="20" t="s">
        <v>418</v>
      </c>
      <c r="E57" s="20" t="s">
        <v>424</v>
      </c>
      <c r="F57" s="20" t="s">
        <v>430</v>
      </c>
      <c r="G57" s="20" t="s">
        <v>436</v>
      </c>
      <c r="H57" s="20" t="s">
        <v>444</v>
      </c>
      <c r="I57" s="20" t="s">
        <v>445</v>
      </c>
      <c r="J57" s="20" t="s">
        <v>446</v>
      </c>
      <c r="K57" s="20" t="s">
        <v>454</v>
      </c>
      <c r="L57" s="20" t="s">
        <v>455</v>
      </c>
      <c r="M57" s="20" t="s">
        <v>476</v>
      </c>
      <c r="N57" s="20" t="s">
        <v>477</v>
      </c>
      <c r="O57" s="20" t="s">
        <v>478</v>
      </c>
      <c r="P57" s="20" t="s">
        <v>488</v>
      </c>
      <c r="Q57" s="20" t="s">
        <v>489</v>
      </c>
      <c r="R57" s="20" t="s">
        <v>490</v>
      </c>
      <c r="S57" s="20" t="s">
        <v>464</v>
      </c>
      <c r="T57" s="20" t="s">
        <v>465</v>
      </c>
      <c r="U57" s="20" t="s">
        <v>466</v>
      </c>
    </row>
    <row r="58" spans="2:21" x14ac:dyDescent="0.2">
      <c r="B58" s="23">
        <v>18</v>
      </c>
      <c r="C58" s="70">
        <v>18</v>
      </c>
      <c r="D58" s="20" t="s">
        <v>418</v>
      </c>
      <c r="E58" s="20" t="s">
        <v>424</v>
      </c>
      <c r="F58" s="20" t="s">
        <v>430</v>
      </c>
      <c r="G58" s="20" t="s">
        <v>436</v>
      </c>
      <c r="H58" s="20" t="s">
        <v>444</v>
      </c>
      <c r="I58" s="20" t="s">
        <v>445</v>
      </c>
      <c r="J58" s="20" t="s">
        <v>446</v>
      </c>
      <c r="K58" s="20" t="s">
        <v>454</v>
      </c>
      <c r="L58" s="20" t="s">
        <v>455</v>
      </c>
      <c r="M58" s="20" t="s">
        <v>476</v>
      </c>
      <c r="N58" s="20" t="s">
        <v>477</v>
      </c>
      <c r="O58" s="20" t="s">
        <v>478</v>
      </c>
      <c r="P58" s="20" t="s">
        <v>488</v>
      </c>
      <c r="Q58" s="20" t="s">
        <v>489</v>
      </c>
      <c r="R58" s="20" t="s">
        <v>490</v>
      </c>
      <c r="S58" s="20" t="s">
        <v>464</v>
      </c>
      <c r="T58" s="20" t="s">
        <v>465</v>
      </c>
      <c r="U58" s="20" t="s">
        <v>466</v>
      </c>
    </row>
    <row r="59" spans="2:21" x14ac:dyDescent="0.2">
      <c r="B59" s="23">
        <v>19</v>
      </c>
      <c r="C59" s="70">
        <v>19</v>
      </c>
      <c r="D59" s="20" t="s">
        <v>419</v>
      </c>
      <c r="E59" s="20" t="s">
        <v>425</v>
      </c>
      <c r="F59" s="20" t="s">
        <v>431</v>
      </c>
      <c r="G59" s="20" t="s">
        <v>437</v>
      </c>
      <c r="H59" s="20" t="s">
        <v>447</v>
      </c>
      <c r="I59" s="20" t="s">
        <v>448</v>
      </c>
      <c r="J59" s="20" t="s">
        <v>449</v>
      </c>
      <c r="K59" s="20" t="s">
        <v>456</v>
      </c>
      <c r="L59" s="20" t="s">
        <v>457</v>
      </c>
      <c r="M59" s="20" t="s">
        <v>479</v>
      </c>
      <c r="N59" s="20" t="s">
        <v>480</v>
      </c>
      <c r="O59" s="20" t="s">
        <v>481</v>
      </c>
      <c r="P59" s="20" t="s">
        <v>491</v>
      </c>
      <c r="Q59" s="20" t="s">
        <v>492</v>
      </c>
      <c r="R59" s="20" t="s">
        <v>493</v>
      </c>
      <c r="S59" s="20" t="s">
        <v>467</v>
      </c>
      <c r="T59" s="20" t="s">
        <v>468</v>
      </c>
      <c r="U59" s="20" t="s">
        <v>469</v>
      </c>
    </row>
    <row r="60" spans="2:21" x14ac:dyDescent="0.2">
      <c r="B60" s="23">
        <v>20</v>
      </c>
      <c r="C60" s="70">
        <v>19</v>
      </c>
      <c r="D60" s="20" t="s">
        <v>419</v>
      </c>
      <c r="E60" s="20" t="s">
        <v>425</v>
      </c>
      <c r="F60" s="20" t="s">
        <v>431</v>
      </c>
      <c r="G60" s="20" t="s">
        <v>437</v>
      </c>
      <c r="H60" s="20" t="s">
        <v>447</v>
      </c>
      <c r="I60" s="20" t="s">
        <v>448</v>
      </c>
      <c r="J60" s="20" t="s">
        <v>449</v>
      </c>
      <c r="K60" s="20" t="s">
        <v>456</v>
      </c>
      <c r="L60" s="20" t="s">
        <v>457</v>
      </c>
      <c r="M60" s="20" t="s">
        <v>479</v>
      </c>
      <c r="N60" s="20" t="s">
        <v>480</v>
      </c>
      <c r="O60" s="20" t="s">
        <v>481</v>
      </c>
      <c r="P60" s="20" t="s">
        <v>491</v>
      </c>
      <c r="Q60" s="20" t="s">
        <v>492</v>
      </c>
      <c r="R60" s="20" t="s">
        <v>493</v>
      </c>
      <c r="S60" s="20" t="s">
        <v>467</v>
      </c>
      <c r="T60" s="20" t="s">
        <v>468</v>
      </c>
      <c r="U60" s="20" t="s">
        <v>469</v>
      </c>
    </row>
    <row r="61" spans="2:21" x14ac:dyDescent="0.2">
      <c r="B61" s="23">
        <v>21</v>
      </c>
      <c r="C61" s="70">
        <v>19</v>
      </c>
      <c r="D61" s="20" t="s">
        <v>419</v>
      </c>
      <c r="E61" s="20" t="s">
        <v>425</v>
      </c>
      <c r="F61" s="20" t="s">
        <v>431</v>
      </c>
      <c r="G61" s="20" t="s">
        <v>437</v>
      </c>
      <c r="H61" s="20" t="s">
        <v>447</v>
      </c>
      <c r="I61" s="20" t="s">
        <v>448</v>
      </c>
      <c r="J61" s="20" t="s">
        <v>449</v>
      </c>
      <c r="K61" s="20" t="s">
        <v>456</v>
      </c>
      <c r="L61" s="20" t="s">
        <v>457</v>
      </c>
      <c r="M61" s="20" t="s">
        <v>479</v>
      </c>
      <c r="N61" s="20" t="s">
        <v>480</v>
      </c>
      <c r="O61" s="20" t="s">
        <v>481</v>
      </c>
      <c r="P61" s="20" t="s">
        <v>491</v>
      </c>
      <c r="Q61" s="20" t="s">
        <v>492</v>
      </c>
      <c r="R61" s="20" t="s">
        <v>493</v>
      </c>
      <c r="S61" s="20" t="s">
        <v>467</v>
      </c>
      <c r="T61" s="20" t="s">
        <v>468</v>
      </c>
      <c r="U61" s="20" t="s">
        <v>469</v>
      </c>
    </row>
    <row r="62" spans="2:21" x14ac:dyDescent="0.2">
      <c r="B62" s="23">
        <v>22</v>
      </c>
      <c r="C62" s="70">
        <v>19</v>
      </c>
      <c r="D62" s="20" t="s">
        <v>419</v>
      </c>
      <c r="E62" s="20" t="s">
        <v>425</v>
      </c>
      <c r="F62" s="20" t="s">
        <v>431</v>
      </c>
      <c r="G62" s="20" t="s">
        <v>437</v>
      </c>
      <c r="H62" s="20" t="s">
        <v>447</v>
      </c>
      <c r="I62" s="20" t="s">
        <v>448</v>
      </c>
      <c r="J62" s="20" t="s">
        <v>449</v>
      </c>
      <c r="K62" s="20" t="s">
        <v>456</v>
      </c>
      <c r="L62" s="20" t="s">
        <v>457</v>
      </c>
      <c r="M62" s="20" t="s">
        <v>479</v>
      </c>
      <c r="N62" s="20" t="s">
        <v>480</v>
      </c>
      <c r="O62" s="20" t="s">
        <v>481</v>
      </c>
      <c r="P62" s="20" t="s">
        <v>491</v>
      </c>
      <c r="Q62" s="20" t="s">
        <v>492</v>
      </c>
      <c r="R62" s="20" t="s">
        <v>493</v>
      </c>
      <c r="S62" s="20" t="s">
        <v>467</v>
      </c>
      <c r="T62" s="20" t="s">
        <v>468</v>
      </c>
      <c r="U62" s="20" t="s">
        <v>469</v>
      </c>
    </row>
    <row r="63" spans="2:21" ht="13.8" thickBot="1" x14ac:dyDescent="0.25">
      <c r="B63" s="24">
        <v>23</v>
      </c>
      <c r="C63" s="70">
        <v>19</v>
      </c>
      <c r="D63" s="20" t="s">
        <v>419</v>
      </c>
      <c r="E63" s="20" t="s">
        <v>425</v>
      </c>
      <c r="F63" s="20" t="s">
        <v>431</v>
      </c>
      <c r="G63" s="20" t="s">
        <v>437</v>
      </c>
      <c r="H63" s="20" t="s">
        <v>447</v>
      </c>
      <c r="I63" s="20" t="s">
        <v>448</v>
      </c>
      <c r="J63" s="20" t="s">
        <v>449</v>
      </c>
      <c r="K63" s="20" t="s">
        <v>456</v>
      </c>
      <c r="L63" s="20" t="s">
        <v>457</v>
      </c>
      <c r="M63" s="20" t="s">
        <v>479</v>
      </c>
      <c r="N63" s="20" t="s">
        <v>480</v>
      </c>
      <c r="O63" s="20" t="s">
        <v>481</v>
      </c>
      <c r="P63" s="20" t="s">
        <v>491</v>
      </c>
      <c r="Q63" s="20" t="s">
        <v>492</v>
      </c>
      <c r="R63" s="20" t="s">
        <v>493</v>
      </c>
      <c r="S63" s="20" t="s">
        <v>467</v>
      </c>
      <c r="T63" s="20" t="s">
        <v>468</v>
      </c>
      <c r="U63" s="20" t="s">
        <v>469</v>
      </c>
    </row>
    <row r="65" spans="2:22" ht="24" customHeight="1" x14ac:dyDescent="0.2">
      <c r="B65" t="s">
        <v>398</v>
      </c>
    </row>
    <row r="66" spans="2:22" ht="13.8" thickBot="1" x14ac:dyDescent="0.25">
      <c r="D66">
        <v>1</v>
      </c>
      <c r="E66">
        <v>2</v>
      </c>
      <c r="F66">
        <v>3</v>
      </c>
      <c r="G66">
        <v>4</v>
      </c>
      <c r="H66">
        <v>5</v>
      </c>
      <c r="I66">
        <v>6</v>
      </c>
      <c r="J66">
        <v>7</v>
      </c>
      <c r="K66">
        <v>8</v>
      </c>
      <c r="L66">
        <v>9</v>
      </c>
      <c r="M66">
        <v>10</v>
      </c>
      <c r="N66">
        <v>11</v>
      </c>
      <c r="O66">
        <v>12</v>
      </c>
      <c r="P66">
        <v>13</v>
      </c>
      <c r="Q66">
        <v>14</v>
      </c>
      <c r="R66">
        <v>15</v>
      </c>
      <c r="S66">
        <v>16</v>
      </c>
      <c r="T66">
        <v>17</v>
      </c>
      <c r="U66">
        <v>18</v>
      </c>
      <c r="V66">
        <v>19</v>
      </c>
    </row>
    <row r="67" spans="2:22" x14ac:dyDescent="0.2">
      <c r="E67" s="104" t="s">
        <v>548</v>
      </c>
      <c r="F67" s="105"/>
      <c r="G67" s="107" t="s">
        <v>549</v>
      </c>
      <c r="H67" s="108"/>
      <c r="I67" s="104" t="s">
        <v>550</v>
      </c>
      <c r="J67" s="105"/>
      <c r="K67" s="107" t="s">
        <v>551</v>
      </c>
      <c r="L67" s="108"/>
      <c r="M67" s="104" t="s">
        <v>552</v>
      </c>
      <c r="N67" s="105"/>
      <c r="O67" s="107" t="s">
        <v>553</v>
      </c>
      <c r="P67" s="131"/>
      <c r="Q67" s="116"/>
      <c r="R67" s="117" t="s">
        <v>554</v>
      </c>
      <c r="S67" s="117" t="s">
        <v>555</v>
      </c>
      <c r="T67" s="117" t="s">
        <v>556</v>
      </c>
      <c r="U67" s="132" t="s">
        <v>601</v>
      </c>
      <c r="V67" s="105"/>
    </row>
    <row r="68" spans="2:22" ht="13.8" thickBot="1" x14ac:dyDescent="0.25">
      <c r="C68" s="475" t="s">
        <v>546</v>
      </c>
      <c r="E68" s="106" t="s">
        <v>557</v>
      </c>
      <c r="F68" s="96" t="s">
        <v>547</v>
      </c>
      <c r="G68" s="109" t="s">
        <v>557</v>
      </c>
      <c r="H68" s="100" t="s">
        <v>547</v>
      </c>
      <c r="I68" s="106" t="s">
        <v>557</v>
      </c>
      <c r="J68" s="96" t="s">
        <v>547</v>
      </c>
      <c r="K68" s="109" t="s">
        <v>557</v>
      </c>
      <c r="L68" s="100" t="s">
        <v>547</v>
      </c>
      <c r="M68" s="106" t="s">
        <v>557</v>
      </c>
      <c r="N68" s="96" t="s">
        <v>547</v>
      </c>
      <c r="O68" s="109" t="s">
        <v>557</v>
      </c>
      <c r="P68" s="109" t="s">
        <v>547</v>
      </c>
      <c r="Q68" s="118" t="s">
        <v>557</v>
      </c>
      <c r="R68" s="96" t="s">
        <v>547</v>
      </c>
      <c r="S68" s="96" t="s">
        <v>547</v>
      </c>
      <c r="T68" s="119" t="s">
        <v>547</v>
      </c>
      <c r="U68" s="106" t="s">
        <v>557</v>
      </c>
      <c r="V68" s="96" t="s">
        <v>547</v>
      </c>
    </row>
    <row r="69" spans="2:22" ht="13.8" thickTop="1" x14ac:dyDescent="0.2">
      <c r="B69" s="476">
        <v>43922</v>
      </c>
      <c r="C69" s="483">
        <v>43922</v>
      </c>
      <c r="D69" s="474">
        <v>1</v>
      </c>
      <c r="E69" s="97" t="s">
        <v>738</v>
      </c>
      <c r="F69" s="97" t="s">
        <v>728</v>
      </c>
      <c r="G69" s="101" t="s">
        <v>744</v>
      </c>
      <c r="H69" s="101" t="s">
        <v>734</v>
      </c>
      <c r="I69" s="97" t="s">
        <v>739</v>
      </c>
      <c r="J69" s="97" t="s">
        <v>757</v>
      </c>
      <c r="K69" s="101" t="s">
        <v>744</v>
      </c>
      <c r="L69" s="101" t="s">
        <v>751</v>
      </c>
      <c r="M69" s="97" t="s">
        <v>739</v>
      </c>
      <c r="N69" s="97" t="s">
        <v>765</v>
      </c>
      <c r="O69" s="101" t="s">
        <v>744</v>
      </c>
      <c r="P69" s="110" t="s">
        <v>775</v>
      </c>
      <c r="Q69" s="130" t="s">
        <v>782</v>
      </c>
      <c r="R69" s="97" t="s">
        <v>788</v>
      </c>
      <c r="S69" s="97" t="s">
        <v>798</v>
      </c>
      <c r="T69" s="121" t="s">
        <v>808</v>
      </c>
      <c r="U69" s="113"/>
      <c r="V69" s="97"/>
    </row>
    <row r="70" spans="2:22" x14ac:dyDescent="0.2">
      <c r="B70" s="478" t="s">
        <v>651</v>
      </c>
      <c r="C70" s="486"/>
      <c r="D70" s="195"/>
      <c r="E70" s="98"/>
      <c r="F70" s="98"/>
      <c r="G70" s="102"/>
      <c r="H70" s="102"/>
      <c r="I70" s="98"/>
      <c r="J70" s="98"/>
      <c r="K70" s="102"/>
      <c r="L70" s="102"/>
      <c r="M70" s="98"/>
      <c r="N70" s="98"/>
      <c r="O70" s="102"/>
      <c r="P70" s="111"/>
      <c r="Q70" s="122"/>
      <c r="R70" s="98"/>
      <c r="S70" s="98"/>
      <c r="T70" s="123"/>
      <c r="U70" s="114"/>
      <c r="V70" s="98"/>
    </row>
    <row r="71" spans="2:22" x14ac:dyDescent="0.2">
      <c r="B71" s="480">
        <v>42827</v>
      </c>
      <c r="C71" s="481">
        <v>42827</v>
      </c>
      <c r="D71" s="276"/>
      <c r="E71" s="99"/>
      <c r="F71" s="99"/>
      <c r="G71" s="102"/>
      <c r="H71" s="102"/>
      <c r="I71" s="98"/>
      <c r="J71" s="98"/>
      <c r="K71" s="102"/>
      <c r="L71" s="102"/>
      <c r="M71" s="98"/>
      <c r="N71" s="98"/>
      <c r="O71" s="102"/>
      <c r="P71" s="111"/>
      <c r="Q71" s="122"/>
      <c r="R71" s="98"/>
      <c r="S71" s="98"/>
      <c r="T71" s="123"/>
      <c r="U71" s="114"/>
      <c r="V71" s="98"/>
    </row>
    <row r="72" spans="2:22" x14ac:dyDescent="0.2">
      <c r="B72" s="482">
        <v>42826</v>
      </c>
      <c r="C72" s="483">
        <v>42826</v>
      </c>
      <c r="D72" s="474">
        <v>2</v>
      </c>
      <c r="E72" s="97" t="s">
        <v>739</v>
      </c>
      <c r="F72" s="97" t="s">
        <v>729</v>
      </c>
      <c r="G72" s="102"/>
      <c r="H72" s="102"/>
      <c r="I72" s="98"/>
      <c r="J72" s="98"/>
      <c r="K72" s="102"/>
      <c r="L72" s="102"/>
      <c r="M72" s="98"/>
      <c r="N72" s="98"/>
      <c r="O72" s="102"/>
      <c r="P72" s="111"/>
      <c r="Q72" s="122"/>
      <c r="R72" s="98"/>
      <c r="S72" s="98"/>
      <c r="T72" s="123"/>
      <c r="U72" s="114"/>
      <c r="V72" s="98"/>
    </row>
    <row r="73" spans="2:22" x14ac:dyDescent="0.2">
      <c r="B73" s="478" t="s">
        <v>651</v>
      </c>
      <c r="C73" s="479"/>
      <c r="D73" s="195"/>
      <c r="E73" s="98"/>
      <c r="F73" s="98"/>
      <c r="G73" s="102"/>
      <c r="H73" s="102"/>
      <c r="I73" s="98"/>
      <c r="J73" s="98"/>
      <c r="K73" s="102"/>
      <c r="L73" s="102"/>
      <c r="M73" s="98"/>
      <c r="N73" s="98"/>
      <c r="O73" s="102"/>
      <c r="P73" s="111"/>
      <c r="Q73" s="122"/>
      <c r="R73" s="98"/>
      <c r="S73" s="98"/>
      <c r="T73" s="123"/>
      <c r="U73" s="114"/>
      <c r="V73" s="98"/>
    </row>
    <row r="74" spans="2:22" x14ac:dyDescent="0.2">
      <c r="B74" s="480">
        <v>41731</v>
      </c>
      <c r="C74" s="481">
        <v>41731</v>
      </c>
      <c r="D74" s="276"/>
      <c r="E74" s="99"/>
      <c r="F74" s="99"/>
      <c r="G74" s="103"/>
      <c r="H74" s="103"/>
      <c r="I74" s="99"/>
      <c r="J74" s="99"/>
      <c r="K74" s="103"/>
      <c r="L74" s="103"/>
      <c r="M74" s="99"/>
      <c r="N74" s="99"/>
      <c r="O74" s="103"/>
      <c r="P74" s="112"/>
      <c r="Q74" s="124"/>
      <c r="R74" s="99"/>
      <c r="S74" s="99"/>
      <c r="T74" s="125"/>
      <c r="U74" s="115"/>
      <c r="V74" s="99"/>
    </row>
    <row r="75" spans="2:22" x14ac:dyDescent="0.2">
      <c r="B75" s="482">
        <v>41730</v>
      </c>
      <c r="C75" s="483">
        <v>41730</v>
      </c>
      <c r="D75" s="474">
        <v>3</v>
      </c>
      <c r="E75" s="97" t="s">
        <v>740</v>
      </c>
      <c r="F75" s="97" t="s">
        <v>730</v>
      </c>
      <c r="G75" s="101" t="s">
        <v>745</v>
      </c>
      <c r="H75" s="101" t="s">
        <v>735</v>
      </c>
      <c r="I75" s="97" t="s">
        <v>740</v>
      </c>
      <c r="J75" s="97" t="s">
        <v>759</v>
      </c>
      <c r="K75" s="101" t="s">
        <v>745</v>
      </c>
      <c r="L75" s="101" t="s">
        <v>749</v>
      </c>
      <c r="M75" s="97" t="s">
        <v>740</v>
      </c>
      <c r="N75" s="97" t="s">
        <v>767</v>
      </c>
      <c r="O75" s="101" t="s">
        <v>745</v>
      </c>
      <c r="P75" s="110" t="s">
        <v>777</v>
      </c>
      <c r="Q75" s="120" t="s">
        <v>783</v>
      </c>
      <c r="R75" s="97" t="s">
        <v>790</v>
      </c>
      <c r="S75" s="97" t="s">
        <v>800</v>
      </c>
      <c r="T75" s="121" t="s">
        <v>810</v>
      </c>
      <c r="U75" s="113" t="s">
        <v>560</v>
      </c>
      <c r="V75" s="97" t="s">
        <v>602</v>
      </c>
    </row>
    <row r="76" spans="2:22" x14ac:dyDescent="0.2">
      <c r="B76" s="478" t="s">
        <v>651</v>
      </c>
      <c r="C76" s="479"/>
      <c r="D76" s="195"/>
      <c r="E76" s="98"/>
      <c r="F76" s="98"/>
      <c r="G76" s="102"/>
      <c r="H76" s="102"/>
      <c r="I76" s="98"/>
      <c r="J76" s="98"/>
      <c r="K76" s="102"/>
      <c r="L76" s="102"/>
      <c r="M76" s="98"/>
      <c r="N76" s="98"/>
      <c r="O76" s="102"/>
      <c r="P76" s="111"/>
      <c r="Q76" s="122"/>
      <c r="R76" s="98"/>
      <c r="S76" s="98"/>
      <c r="T76" s="123"/>
      <c r="U76" s="114"/>
      <c r="V76" s="98"/>
    </row>
    <row r="77" spans="2:22" x14ac:dyDescent="0.2">
      <c r="B77" s="480">
        <v>40635</v>
      </c>
      <c r="C77" s="481">
        <v>40635</v>
      </c>
      <c r="D77" s="276"/>
      <c r="E77" s="99"/>
      <c r="F77" s="99"/>
      <c r="G77" s="419"/>
      <c r="H77" s="419"/>
      <c r="I77" s="99"/>
      <c r="J77" s="99"/>
      <c r="K77" s="419"/>
      <c r="L77" s="419"/>
      <c r="M77" s="99"/>
      <c r="N77" s="99"/>
      <c r="O77" s="419"/>
      <c r="P77" s="111"/>
      <c r="Q77" s="124"/>
      <c r="R77" s="99"/>
      <c r="S77" s="99"/>
      <c r="T77" s="125"/>
      <c r="U77" s="114"/>
      <c r="V77" s="98"/>
    </row>
    <row r="78" spans="2:22" x14ac:dyDescent="0.2">
      <c r="B78" s="482">
        <v>40634</v>
      </c>
      <c r="C78" s="483">
        <v>40634</v>
      </c>
      <c r="D78" s="474">
        <v>4</v>
      </c>
      <c r="E78" s="97" t="s">
        <v>741</v>
      </c>
      <c r="F78" s="97" t="s">
        <v>731</v>
      </c>
      <c r="G78" s="101" t="s">
        <v>746</v>
      </c>
      <c r="H78" s="101" t="s">
        <v>736</v>
      </c>
      <c r="I78" s="97" t="s">
        <v>741</v>
      </c>
      <c r="J78" s="97" t="s">
        <v>761</v>
      </c>
      <c r="K78" s="101" t="s">
        <v>746</v>
      </c>
      <c r="L78" s="101" t="s">
        <v>753</v>
      </c>
      <c r="M78" s="97" t="s">
        <v>741</v>
      </c>
      <c r="N78" s="97" t="s">
        <v>769</v>
      </c>
      <c r="O78" s="101" t="s">
        <v>746</v>
      </c>
      <c r="P78" s="110" t="s">
        <v>779</v>
      </c>
      <c r="Q78" s="126" t="s">
        <v>784</v>
      </c>
      <c r="R78" s="97" t="s">
        <v>792</v>
      </c>
      <c r="S78" s="97" t="s">
        <v>802</v>
      </c>
      <c r="T78" s="121" t="s">
        <v>812</v>
      </c>
      <c r="U78" s="114"/>
      <c r="V78" s="98"/>
    </row>
    <row r="79" spans="2:22" x14ac:dyDescent="0.2">
      <c r="B79" s="478" t="s">
        <v>651</v>
      </c>
      <c r="C79" s="479"/>
      <c r="D79" s="195"/>
      <c r="E79" s="98"/>
      <c r="F79" s="98"/>
      <c r="G79" s="102"/>
      <c r="H79" s="102"/>
      <c r="I79" s="98"/>
      <c r="J79" s="98"/>
      <c r="K79" s="102"/>
      <c r="L79" s="102"/>
      <c r="M79" s="98"/>
      <c r="N79" s="98"/>
      <c r="O79" s="102"/>
      <c r="P79" s="111"/>
      <c r="Q79" s="122"/>
      <c r="R79" s="98"/>
      <c r="S79" s="98"/>
      <c r="T79" s="123"/>
      <c r="U79" s="114"/>
      <c r="V79" s="98"/>
    </row>
    <row r="80" spans="2:22" x14ac:dyDescent="0.2">
      <c r="B80" s="480">
        <v>39540</v>
      </c>
      <c r="C80" s="481">
        <v>39540</v>
      </c>
      <c r="D80" s="276"/>
      <c r="E80" s="99"/>
      <c r="F80" s="99"/>
      <c r="G80" s="103"/>
      <c r="H80" s="103"/>
      <c r="I80" s="99"/>
      <c r="J80" s="99"/>
      <c r="K80" s="103"/>
      <c r="L80" s="103"/>
      <c r="M80" s="99"/>
      <c r="N80" s="99"/>
      <c r="O80" s="103"/>
      <c r="P80" s="112"/>
      <c r="Q80" s="124"/>
      <c r="R80" s="99"/>
      <c r="S80" s="99"/>
      <c r="T80" s="125"/>
      <c r="U80" s="115"/>
      <c r="V80" s="99"/>
    </row>
    <row r="81" spans="2:22" x14ac:dyDescent="0.2">
      <c r="B81" s="482">
        <v>39539</v>
      </c>
      <c r="C81" s="483">
        <v>39539</v>
      </c>
      <c r="D81" s="474">
        <v>5</v>
      </c>
      <c r="E81" s="97" t="s">
        <v>742</v>
      </c>
      <c r="F81" s="97" t="s">
        <v>732</v>
      </c>
      <c r="G81" s="101" t="s">
        <v>747</v>
      </c>
      <c r="H81" s="101" t="s">
        <v>737</v>
      </c>
      <c r="I81" s="97" t="s">
        <v>742</v>
      </c>
      <c r="J81" s="97" t="s">
        <v>763</v>
      </c>
      <c r="K81" s="101" t="s">
        <v>747</v>
      </c>
      <c r="L81" s="101" t="s">
        <v>755</v>
      </c>
      <c r="M81" s="97" t="s">
        <v>742</v>
      </c>
      <c r="N81" s="97" t="s">
        <v>771</v>
      </c>
      <c r="O81" s="101" t="s">
        <v>747</v>
      </c>
      <c r="P81" s="110" t="s">
        <v>781</v>
      </c>
      <c r="Q81" s="120" t="s">
        <v>785</v>
      </c>
      <c r="R81" s="97" t="s">
        <v>794</v>
      </c>
      <c r="S81" s="97" t="s">
        <v>804</v>
      </c>
      <c r="T81" s="121" t="s">
        <v>814</v>
      </c>
      <c r="U81" s="113" t="s">
        <v>561</v>
      </c>
      <c r="V81" s="97" t="s">
        <v>603</v>
      </c>
    </row>
    <row r="82" spans="2:22" x14ac:dyDescent="0.2">
      <c r="B82" s="478" t="s">
        <v>651</v>
      </c>
      <c r="C82" s="479"/>
      <c r="D82" s="195"/>
      <c r="E82" s="98"/>
      <c r="F82" s="98"/>
      <c r="G82" s="102"/>
      <c r="H82" s="102"/>
      <c r="I82" s="98"/>
      <c r="J82" s="98"/>
      <c r="K82" s="102"/>
      <c r="L82" s="102"/>
      <c r="M82" s="98"/>
      <c r="N82" s="98"/>
      <c r="O82" s="102"/>
      <c r="P82" s="111"/>
      <c r="Q82" s="122"/>
      <c r="R82" s="98"/>
      <c r="S82" s="98"/>
      <c r="T82" s="123"/>
      <c r="U82" s="114"/>
      <c r="V82" s="98"/>
    </row>
    <row r="83" spans="2:22" x14ac:dyDescent="0.2">
      <c r="B83" s="480">
        <v>38079</v>
      </c>
      <c r="C83" s="481">
        <v>38079</v>
      </c>
      <c r="D83" s="276"/>
      <c r="E83" s="99"/>
      <c r="F83" s="99"/>
      <c r="G83" s="102"/>
      <c r="H83" s="102"/>
      <c r="I83" s="99"/>
      <c r="J83" s="99"/>
      <c r="K83" s="102"/>
      <c r="L83" s="102"/>
      <c r="M83" s="99"/>
      <c r="N83" s="99"/>
      <c r="O83" s="102"/>
      <c r="P83" s="111"/>
      <c r="Q83" s="124"/>
      <c r="R83" s="99"/>
      <c r="S83" s="99"/>
      <c r="T83" s="125"/>
      <c r="U83" s="114"/>
      <c r="V83" s="98"/>
    </row>
    <row r="84" spans="2:22" x14ac:dyDescent="0.2">
      <c r="B84" s="482">
        <v>38078</v>
      </c>
      <c r="C84" s="483">
        <v>38078</v>
      </c>
      <c r="D84" s="474">
        <v>6</v>
      </c>
      <c r="E84" s="97" t="s">
        <v>743</v>
      </c>
      <c r="F84" s="97" t="s">
        <v>733</v>
      </c>
      <c r="G84" s="102"/>
      <c r="H84" s="102"/>
      <c r="I84" s="97" t="s">
        <v>743</v>
      </c>
      <c r="J84" s="97" t="s">
        <v>818</v>
      </c>
      <c r="K84" s="102"/>
      <c r="L84" s="102"/>
      <c r="M84" s="97" t="s">
        <v>743</v>
      </c>
      <c r="N84" s="97" t="s">
        <v>773</v>
      </c>
      <c r="O84" s="102"/>
      <c r="P84" s="111"/>
      <c r="Q84" s="126" t="s">
        <v>786</v>
      </c>
      <c r="R84" s="97" t="s">
        <v>796</v>
      </c>
      <c r="S84" s="97" t="s">
        <v>806</v>
      </c>
      <c r="T84" s="121" t="s">
        <v>816</v>
      </c>
      <c r="U84" s="114"/>
      <c r="V84" s="98"/>
    </row>
    <row r="85" spans="2:22" x14ac:dyDescent="0.2">
      <c r="B85" s="478" t="s">
        <v>651</v>
      </c>
      <c r="C85" s="479"/>
      <c r="D85" s="195"/>
      <c r="E85" s="98"/>
      <c r="F85" s="98"/>
      <c r="G85" s="102"/>
      <c r="H85" s="102"/>
      <c r="I85" s="98"/>
      <c r="J85" s="98"/>
      <c r="K85" s="102"/>
      <c r="L85" s="102"/>
      <c r="M85" s="98"/>
      <c r="N85" s="98"/>
      <c r="O85" s="102"/>
      <c r="P85" s="111"/>
      <c r="Q85" s="122"/>
      <c r="R85" s="98"/>
      <c r="S85" s="98"/>
      <c r="T85" s="123"/>
      <c r="U85" s="114"/>
      <c r="V85" s="98"/>
    </row>
    <row r="86" spans="2:22" ht="13.8" thickBot="1" x14ac:dyDescent="0.25">
      <c r="B86" s="484"/>
      <c r="C86" s="485"/>
      <c r="D86" s="276"/>
      <c r="E86" s="99"/>
      <c r="F86" s="99"/>
      <c r="G86" s="103"/>
      <c r="H86" s="103"/>
      <c r="I86" s="99"/>
      <c r="J86" s="99"/>
      <c r="K86" s="103"/>
      <c r="L86" s="103"/>
      <c r="M86" s="99"/>
      <c r="N86" s="99"/>
      <c r="O86" s="103"/>
      <c r="P86" s="112"/>
      <c r="Q86" s="127"/>
      <c r="R86" s="128"/>
      <c r="S86" s="128"/>
      <c r="T86" s="129"/>
      <c r="U86" s="115"/>
      <c r="V86" s="99"/>
    </row>
    <row r="87" spans="2:22" ht="13.8" thickTop="1" x14ac:dyDescent="0.2"/>
    <row r="88" spans="2:22" x14ac:dyDescent="0.2">
      <c r="C88" s="226"/>
    </row>
    <row r="89" spans="2:22" x14ac:dyDescent="0.2">
      <c r="D89">
        <v>1</v>
      </c>
      <c r="E89" s="97" t="s">
        <v>738</v>
      </c>
      <c r="F89" s="97" t="s">
        <v>728</v>
      </c>
      <c r="I89" s="97" t="s">
        <v>739</v>
      </c>
      <c r="J89" s="97" t="s">
        <v>757</v>
      </c>
      <c r="M89" s="97" t="s">
        <v>739</v>
      </c>
      <c r="N89" s="97" t="s">
        <v>765</v>
      </c>
      <c r="Q89" s="130" t="s">
        <v>782</v>
      </c>
      <c r="R89" s="97" t="s">
        <v>788</v>
      </c>
      <c r="S89" s="97" t="s">
        <v>798</v>
      </c>
      <c r="T89" s="121" t="s">
        <v>808</v>
      </c>
    </row>
    <row r="90" spans="2:22" x14ac:dyDescent="0.2">
      <c r="D90">
        <v>2</v>
      </c>
      <c r="E90" s="97" t="s">
        <v>739</v>
      </c>
      <c r="F90" s="97" t="s">
        <v>729</v>
      </c>
      <c r="I90" s="97" t="s">
        <v>739</v>
      </c>
      <c r="J90" s="97" t="s">
        <v>757</v>
      </c>
      <c r="M90" s="97" t="s">
        <v>739</v>
      </c>
      <c r="N90" s="97" t="s">
        <v>765</v>
      </c>
      <c r="Q90" s="130" t="s">
        <v>782</v>
      </c>
      <c r="R90" s="97" t="s">
        <v>788</v>
      </c>
      <c r="S90" s="97" t="s">
        <v>798</v>
      </c>
      <c r="T90" s="121" t="s">
        <v>808</v>
      </c>
    </row>
    <row r="91" spans="2:22" x14ac:dyDescent="0.2">
      <c r="D91">
        <v>3</v>
      </c>
      <c r="E91" s="97" t="s">
        <v>740</v>
      </c>
      <c r="F91" s="97" t="s">
        <v>730</v>
      </c>
      <c r="I91" s="97" t="s">
        <v>740</v>
      </c>
      <c r="J91" s="97" t="s">
        <v>759</v>
      </c>
      <c r="M91" s="97" t="s">
        <v>740</v>
      </c>
      <c r="N91" s="97" t="s">
        <v>767</v>
      </c>
      <c r="Q91" s="120" t="s">
        <v>783</v>
      </c>
      <c r="R91" s="97" t="s">
        <v>790</v>
      </c>
      <c r="S91" s="97" t="s">
        <v>800</v>
      </c>
      <c r="T91" s="121" t="s">
        <v>810</v>
      </c>
      <c r="U91" s="113" t="s">
        <v>560</v>
      </c>
      <c r="V91" s="97" t="s">
        <v>595</v>
      </c>
    </row>
    <row r="92" spans="2:22" x14ac:dyDescent="0.2">
      <c r="D92">
        <v>4</v>
      </c>
      <c r="E92" s="97" t="s">
        <v>741</v>
      </c>
      <c r="F92" s="97" t="s">
        <v>731</v>
      </c>
      <c r="I92" s="97" t="s">
        <v>741</v>
      </c>
      <c r="J92" s="97" t="s">
        <v>761</v>
      </c>
      <c r="M92" s="97" t="s">
        <v>741</v>
      </c>
      <c r="N92" s="97" t="s">
        <v>769</v>
      </c>
      <c r="Q92" s="126" t="s">
        <v>784</v>
      </c>
      <c r="R92" s="97" t="s">
        <v>792</v>
      </c>
      <c r="S92" s="97" t="s">
        <v>802</v>
      </c>
      <c r="T92" s="121" t="s">
        <v>812</v>
      </c>
      <c r="U92" s="113" t="s">
        <v>560</v>
      </c>
      <c r="V92" s="97" t="s">
        <v>596</v>
      </c>
    </row>
    <row r="93" spans="2:22" x14ac:dyDescent="0.2">
      <c r="D93">
        <v>5</v>
      </c>
      <c r="E93" s="97" t="s">
        <v>742</v>
      </c>
      <c r="F93" s="97" t="s">
        <v>732</v>
      </c>
      <c r="I93" s="97" t="s">
        <v>742</v>
      </c>
      <c r="J93" s="97" t="s">
        <v>763</v>
      </c>
      <c r="M93" s="97" t="s">
        <v>742</v>
      </c>
      <c r="N93" s="97" t="s">
        <v>771</v>
      </c>
      <c r="Q93" s="120" t="s">
        <v>785</v>
      </c>
      <c r="R93" s="97" t="s">
        <v>794</v>
      </c>
      <c r="S93" s="97" t="s">
        <v>804</v>
      </c>
      <c r="T93" s="121" t="s">
        <v>814</v>
      </c>
      <c r="U93" s="113" t="s">
        <v>561</v>
      </c>
      <c r="V93" s="97" t="s">
        <v>597</v>
      </c>
    </row>
    <row r="94" spans="2:22" x14ac:dyDescent="0.2">
      <c r="D94">
        <v>6</v>
      </c>
      <c r="E94" s="97" t="s">
        <v>743</v>
      </c>
      <c r="F94" s="97" t="s">
        <v>733</v>
      </c>
      <c r="I94" s="97" t="s">
        <v>743</v>
      </c>
      <c r="J94" s="97" t="s">
        <v>818</v>
      </c>
      <c r="M94" s="97" t="s">
        <v>743</v>
      </c>
      <c r="N94" s="97" t="s">
        <v>773</v>
      </c>
      <c r="Q94" s="126" t="s">
        <v>786</v>
      </c>
      <c r="R94" s="97" t="s">
        <v>796</v>
      </c>
      <c r="S94" s="97" t="s">
        <v>806</v>
      </c>
      <c r="T94" s="121" t="s">
        <v>816</v>
      </c>
      <c r="U94" s="113" t="s">
        <v>561</v>
      </c>
      <c r="V94" s="97" t="s">
        <v>598</v>
      </c>
    </row>
    <row r="95" spans="2:22" x14ac:dyDescent="0.2">
      <c r="C95">
        <v>1</v>
      </c>
      <c r="D95" s="133" t="s">
        <v>826</v>
      </c>
      <c r="E95" s="101" t="s">
        <v>744</v>
      </c>
      <c r="F95" s="101" t="s">
        <v>734</v>
      </c>
      <c r="I95" s="101" t="s">
        <v>744</v>
      </c>
      <c r="J95" s="101" t="s">
        <v>751</v>
      </c>
      <c r="M95" s="101" t="s">
        <v>744</v>
      </c>
      <c r="N95" s="110" t="s">
        <v>775</v>
      </c>
      <c r="Q95" s="130" t="s">
        <v>782</v>
      </c>
      <c r="R95" s="97" t="s">
        <v>788</v>
      </c>
      <c r="S95" s="97" t="s">
        <v>798</v>
      </c>
      <c r="T95" s="121" t="s">
        <v>808</v>
      </c>
    </row>
    <row r="96" spans="2:22" x14ac:dyDescent="0.2">
      <c r="C96">
        <v>2</v>
      </c>
      <c r="D96" s="133" t="s">
        <v>562</v>
      </c>
      <c r="E96" s="101" t="s">
        <v>744</v>
      </c>
      <c r="F96" s="101" t="s">
        <v>734</v>
      </c>
      <c r="I96" s="101" t="s">
        <v>744</v>
      </c>
      <c r="J96" s="101" t="s">
        <v>751</v>
      </c>
      <c r="M96" s="101" t="s">
        <v>744</v>
      </c>
      <c r="N96" s="110" t="s">
        <v>775</v>
      </c>
      <c r="Q96" s="130" t="s">
        <v>782</v>
      </c>
      <c r="R96" s="97" t="s">
        <v>788</v>
      </c>
      <c r="S96" s="97" t="s">
        <v>798</v>
      </c>
      <c r="T96" s="121" t="s">
        <v>808</v>
      </c>
    </row>
    <row r="97" spans="2:22" x14ac:dyDescent="0.2">
      <c r="C97">
        <v>3</v>
      </c>
      <c r="D97" s="133" t="s">
        <v>563</v>
      </c>
      <c r="E97" s="101" t="s">
        <v>745</v>
      </c>
      <c r="F97" s="101" t="s">
        <v>735</v>
      </c>
      <c r="I97" s="101" t="s">
        <v>745</v>
      </c>
      <c r="J97" s="101" t="s">
        <v>749</v>
      </c>
      <c r="M97" s="101" t="s">
        <v>745</v>
      </c>
      <c r="N97" s="110" t="s">
        <v>777</v>
      </c>
      <c r="Q97" s="120" t="s">
        <v>783</v>
      </c>
      <c r="R97" s="97" t="s">
        <v>790</v>
      </c>
      <c r="S97" s="97" t="s">
        <v>800</v>
      </c>
      <c r="T97" s="121" t="s">
        <v>810</v>
      </c>
      <c r="U97" s="113" t="s">
        <v>560</v>
      </c>
      <c r="V97" s="97" t="s">
        <v>595</v>
      </c>
    </row>
    <row r="98" spans="2:22" x14ac:dyDescent="0.2">
      <c r="C98">
        <v>4</v>
      </c>
      <c r="D98" s="133" t="s">
        <v>564</v>
      </c>
      <c r="E98" s="101" t="s">
        <v>746</v>
      </c>
      <c r="F98" s="101" t="s">
        <v>736</v>
      </c>
      <c r="I98" s="101" t="s">
        <v>746</v>
      </c>
      <c r="J98" s="101" t="s">
        <v>753</v>
      </c>
      <c r="M98" s="101" t="s">
        <v>746</v>
      </c>
      <c r="N98" s="110" t="s">
        <v>779</v>
      </c>
      <c r="Q98" s="126" t="s">
        <v>784</v>
      </c>
      <c r="R98" s="97" t="s">
        <v>792</v>
      </c>
      <c r="S98" s="97" t="s">
        <v>802</v>
      </c>
      <c r="T98" s="121" t="s">
        <v>812</v>
      </c>
      <c r="U98" s="113" t="s">
        <v>560</v>
      </c>
      <c r="V98" s="97" t="s">
        <v>596</v>
      </c>
    </row>
    <row r="99" spans="2:22" x14ac:dyDescent="0.2">
      <c r="C99">
        <v>5</v>
      </c>
      <c r="D99" s="133" t="s">
        <v>565</v>
      </c>
      <c r="E99" s="101" t="s">
        <v>747</v>
      </c>
      <c r="F99" s="101" t="s">
        <v>737</v>
      </c>
      <c r="I99" s="101" t="s">
        <v>747</v>
      </c>
      <c r="J99" s="101" t="s">
        <v>755</v>
      </c>
      <c r="M99" s="101" t="s">
        <v>747</v>
      </c>
      <c r="N99" s="110" t="s">
        <v>781</v>
      </c>
      <c r="Q99" s="120" t="s">
        <v>785</v>
      </c>
      <c r="R99" s="97" t="s">
        <v>794</v>
      </c>
      <c r="S99" s="97" t="s">
        <v>804</v>
      </c>
      <c r="T99" s="121" t="s">
        <v>814</v>
      </c>
      <c r="U99" s="113" t="s">
        <v>561</v>
      </c>
      <c r="V99" s="97" t="s">
        <v>597</v>
      </c>
    </row>
    <row r="100" spans="2:22" x14ac:dyDescent="0.2">
      <c r="C100">
        <v>6</v>
      </c>
      <c r="D100" s="133" t="s">
        <v>566</v>
      </c>
      <c r="E100" s="101" t="s">
        <v>747</v>
      </c>
      <c r="F100" s="101" t="s">
        <v>737</v>
      </c>
      <c r="I100" s="101" t="s">
        <v>747</v>
      </c>
      <c r="J100" s="101" t="s">
        <v>755</v>
      </c>
      <c r="M100" s="101" t="s">
        <v>747</v>
      </c>
      <c r="N100" s="110" t="s">
        <v>781</v>
      </c>
      <c r="Q100" s="126" t="s">
        <v>786</v>
      </c>
      <c r="R100" s="97" t="s">
        <v>796</v>
      </c>
      <c r="S100" s="97" t="s">
        <v>806</v>
      </c>
      <c r="T100" s="121" t="s">
        <v>816</v>
      </c>
      <c r="U100" s="113" t="s">
        <v>561</v>
      </c>
      <c r="V100" s="97" t="s">
        <v>598</v>
      </c>
    </row>
    <row r="101" spans="2:22" x14ac:dyDescent="0.2">
      <c r="C101">
        <v>0</v>
      </c>
      <c r="D101" s="133">
        <v>0</v>
      </c>
    </row>
    <row r="103" spans="2:22" x14ac:dyDescent="0.2">
      <c r="B103" t="s">
        <v>625</v>
      </c>
    </row>
    <row r="104" spans="2:22" ht="13.8" thickBot="1" x14ac:dyDescent="0.25">
      <c r="B104" s="1">
        <v>1</v>
      </c>
      <c r="C104" s="1">
        <v>2</v>
      </c>
      <c r="D104" s="1">
        <v>3</v>
      </c>
    </row>
    <row r="105" spans="2:22" ht="13.8" thickBot="1" x14ac:dyDescent="0.25">
      <c r="B105" s="28" t="s">
        <v>37</v>
      </c>
      <c r="C105" s="26" t="s">
        <v>393</v>
      </c>
      <c r="D105" s="27" t="s">
        <v>626</v>
      </c>
    </row>
    <row r="106" spans="2:22" ht="13.8" thickTop="1" x14ac:dyDescent="0.2">
      <c r="B106" s="23">
        <v>6</v>
      </c>
      <c r="C106" s="29" t="s">
        <v>629</v>
      </c>
      <c r="D106" s="29" t="s">
        <v>627</v>
      </c>
    </row>
    <row r="107" spans="2:22" x14ac:dyDescent="0.2">
      <c r="B107" s="22">
        <v>7</v>
      </c>
      <c r="C107" s="29" t="s">
        <v>630</v>
      </c>
      <c r="D107" s="29" t="s">
        <v>627</v>
      </c>
    </row>
    <row r="108" spans="2:22" x14ac:dyDescent="0.2">
      <c r="B108" s="23">
        <v>8</v>
      </c>
      <c r="C108" s="29" t="s">
        <v>630</v>
      </c>
      <c r="D108" s="29" t="s">
        <v>627</v>
      </c>
    </row>
    <row r="109" spans="2:22" x14ac:dyDescent="0.2">
      <c r="B109" s="23">
        <v>9</v>
      </c>
      <c r="C109" s="29" t="s">
        <v>630</v>
      </c>
      <c r="D109" s="29" t="s">
        <v>627</v>
      </c>
    </row>
    <row r="110" spans="2:22" x14ac:dyDescent="0.2">
      <c r="B110" s="23">
        <v>10</v>
      </c>
      <c r="C110" s="29" t="s">
        <v>630</v>
      </c>
      <c r="D110" s="29" t="s">
        <v>627</v>
      </c>
    </row>
    <row r="111" spans="2:22" x14ac:dyDescent="0.2">
      <c r="B111" s="23">
        <v>11</v>
      </c>
      <c r="C111" s="29" t="s">
        <v>630</v>
      </c>
      <c r="D111" s="29" t="s">
        <v>627</v>
      </c>
    </row>
    <row r="112" spans="2:22" x14ac:dyDescent="0.2">
      <c r="B112" s="23">
        <v>12</v>
      </c>
      <c r="C112" s="29" t="s">
        <v>630</v>
      </c>
      <c r="D112" s="29" t="s">
        <v>627</v>
      </c>
    </row>
    <row r="113" spans="2:10" x14ac:dyDescent="0.2">
      <c r="B113" s="23">
        <v>13</v>
      </c>
      <c r="C113" s="29" t="s">
        <v>631</v>
      </c>
      <c r="D113" s="17" t="s">
        <v>633</v>
      </c>
    </row>
    <row r="114" spans="2:10" x14ac:dyDescent="0.2">
      <c r="B114" s="23">
        <v>14</v>
      </c>
      <c r="C114" s="29" t="s">
        <v>631</v>
      </c>
      <c r="D114" s="17" t="s">
        <v>633</v>
      </c>
    </row>
    <row r="115" spans="2:10" x14ac:dyDescent="0.2">
      <c r="B115" s="23">
        <v>15</v>
      </c>
      <c r="C115" s="29" t="s">
        <v>631</v>
      </c>
      <c r="D115" s="17" t="s">
        <v>633</v>
      </c>
    </row>
    <row r="116" spans="2:10" x14ac:dyDescent="0.2">
      <c r="B116" s="23">
        <v>16</v>
      </c>
      <c r="C116" s="29" t="s">
        <v>632</v>
      </c>
      <c r="D116" s="17" t="s">
        <v>633</v>
      </c>
    </row>
    <row r="117" spans="2:10" x14ac:dyDescent="0.2">
      <c r="B117" s="23">
        <v>17</v>
      </c>
      <c r="C117" s="29" t="s">
        <v>632</v>
      </c>
      <c r="D117" s="17" t="s">
        <v>633</v>
      </c>
    </row>
    <row r="118" spans="2:10" x14ac:dyDescent="0.2">
      <c r="B118" s="23">
        <v>18</v>
      </c>
      <c r="C118" s="29" t="s">
        <v>632</v>
      </c>
      <c r="D118" s="17" t="s">
        <v>633</v>
      </c>
    </row>
    <row r="119" spans="2:10" x14ac:dyDescent="0.2">
      <c r="B119" s="23">
        <v>19</v>
      </c>
      <c r="C119" s="29" t="s">
        <v>668</v>
      </c>
      <c r="D119" s="17" t="s">
        <v>600</v>
      </c>
    </row>
    <row r="120" spans="2:10" x14ac:dyDescent="0.2">
      <c r="B120" s="23">
        <v>20</v>
      </c>
      <c r="C120" s="29" t="s">
        <v>668</v>
      </c>
      <c r="D120" s="17" t="s">
        <v>600</v>
      </c>
    </row>
    <row r="121" spans="2:10" x14ac:dyDescent="0.2">
      <c r="B121" s="23" t="s">
        <v>669</v>
      </c>
      <c r="C121" s="29" t="s">
        <v>668</v>
      </c>
      <c r="D121" s="17" t="s">
        <v>600</v>
      </c>
    </row>
    <row r="122" spans="2:10" x14ac:dyDescent="0.2">
      <c r="B122" s="23"/>
      <c r="C122" s="29"/>
      <c r="D122" s="17"/>
    </row>
    <row r="123" spans="2:10" ht="13.8" thickBot="1" x14ac:dyDescent="0.25">
      <c r="B123" s="24"/>
      <c r="C123" s="29"/>
      <c r="D123" s="17"/>
    </row>
    <row r="126" spans="2:10" x14ac:dyDescent="0.2">
      <c r="B126" t="s">
        <v>670</v>
      </c>
      <c r="F126" s="372" t="s">
        <v>843</v>
      </c>
    </row>
    <row r="127" spans="2:10" ht="13.8" thickBot="1" x14ac:dyDescent="0.25">
      <c r="D127">
        <v>1</v>
      </c>
      <c r="E127">
        <v>2</v>
      </c>
      <c r="F127">
        <v>3</v>
      </c>
      <c r="G127">
        <v>4</v>
      </c>
      <c r="H127">
        <v>5</v>
      </c>
      <c r="I127">
        <v>6</v>
      </c>
      <c r="J127">
        <v>7</v>
      </c>
    </row>
    <row r="128" spans="2:10" x14ac:dyDescent="0.2">
      <c r="E128" s="104" t="s">
        <v>671</v>
      </c>
      <c r="F128" s="105"/>
      <c r="G128" s="107" t="s">
        <v>672</v>
      </c>
      <c r="H128" s="108"/>
      <c r="I128" s="116"/>
      <c r="J128" s="117" t="s">
        <v>673</v>
      </c>
    </row>
    <row r="129" spans="2:10" ht="13.8" thickBot="1" x14ac:dyDescent="0.25">
      <c r="C129" s="475" t="s">
        <v>546</v>
      </c>
      <c r="E129" s="106" t="s">
        <v>557</v>
      </c>
      <c r="F129" s="96" t="s">
        <v>547</v>
      </c>
      <c r="G129" s="109" t="s">
        <v>557</v>
      </c>
      <c r="H129" s="100" t="s">
        <v>547</v>
      </c>
      <c r="I129" s="118" t="s">
        <v>557</v>
      </c>
      <c r="J129" s="96" t="s">
        <v>547</v>
      </c>
    </row>
    <row r="130" spans="2:10" ht="13.8" thickTop="1" x14ac:dyDescent="0.2">
      <c r="B130" s="476">
        <v>42095</v>
      </c>
      <c r="C130" s="477">
        <v>42095</v>
      </c>
      <c r="D130" s="474">
        <v>1</v>
      </c>
      <c r="E130" s="97" t="s">
        <v>674</v>
      </c>
      <c r="F130" s="97" t="s">
        <v>679</v>
      </c>
      <c r="G130" s="101" t="s">
        <v>558</v>
      </c>
      <c r="H130" s="101" t="s">
        <v>682</v>
      </c>
      <c r="I130" s="120" t="s">
        <v>686</v>
      </c>
      <c r="J130" s="97" t="s">
        <v>684</v>
      </c>
    </row>
    <row r="131" spans="2:10" x14ac:dyDescent="0.2">
      <c r="B131" s="478" t="s">
        <v>651</v>
      </c>
      <c r="C131" s="479"/>
      <c r="D131" s="195"/>
      <c r="E131" s="98"/>
      <c r="F131" s="98"/>
      <c r="G131" s="102"/>
      <c r="H131" s="102"/>
      <c r="I131" s="122"/>
      <c r="J131" s="98"/>
    </row>
    <row r="132" spans="2:10" x14ac:dyDescent="0.2">
      <c r="B132" s="480">
        <v>40179</v>
      </c>
      <c r="C132" s="481">
        <v>40179</v>
      </c>
      <c r="D132" s="276"/>
      <c r="E132" s="99"/>
      <c r="F132" s="99"/>
      <c r="G132" s="102"/>
      <c r="H132" s="102"/>
      <c r="I132" s="122"/>
      <c r="J132" s="98"/>
    </row>
    <row r="133" spans="2:10" x14ac:dyDescent="0.2">
      <c r="B133" s="482"/>
      <c r="C133" s="483"/>
      <c r="D133" s="474">
        <v>2</v>
      </c>
      <c r="E133" s="97" t="s">
        <v>674</v>
      </c>
      <c r="F133" s="97" t="s">
        <v>679</v>
      </c>
      <c r="G133" s="102"/>
      <c r="H133" s="102"/>
      <c r="I133" s="122"/>
      <c r="J133" s="98"/>
    </row>
    <row r="134" spans="2:10" x14ac:dyDescent="0.2">
      <c r="B134" s="478"/>
      <c r="C134" s="479"/>
      <c r="D134" s="195"/>
      <c r="E134" s="98"/>
      <c r="F134" s="98"/>
      <c r="G134" s="102"/>
      <c r="H134" s="102"/>
      <c r="I134" s="122"/>
      <c r="J134" s="98"/>
    </row>
    <row r="135" spans="2:10" x14ac:dyDescent="0.2">
      <c r="B135" s="480"/>
      <c r="C135" s="481"/>
      <c r="D135" s="276"/>
      <c r="E135" s="99"/>
      <c r="F135" s="99"/>
      <c r="G135" s="103"/>
      <c r="H135" s="103"/>
      <c r="I135" s="124"/>
      <c r="J135" s="99"/>
    </row>
    <row r="136" spans="2:10" x14ac:dyDescent="0.2">
      <c r="B136" s="482">
        <v>40178</v>
      </c>
      <c r="C136" s="483">
        <v>40178</v>
      </c>
      <c r="D136" s="474">
        <v>3</v>
      </c>
      <c r="E136" s="97" t="s">
        <v>675</v>
      </c>
      <c r="F136" s="97" t="s">
        <v>680</v>
      </c>
      <c r="G136" s="101" t="s">
        <v>559</v>
      </c>
      <c r="H136" s="101" t="s">
        <v>683</v>
      </c>
      <c r="I136" s="120" t="s">
        <v>687</v>
      </c>
      <c r="J136" s="97" t="s">
        <v>685</v>
      </c>
    </row>
    <row r="137" spans="2:10" x14ac:dyDescent="0.2">
      <c r="B137" s="478" t="s">
        <v>651</v>
      </c>
      <c r="C137" s="479"/>
      <c r="D137" s="195"/>
      <c r="E137" s="98"/>
      <c r="F137" s="98"/>
      <c r="G137" s="102"/>
      <c r="H137" s="102"/>
      <c r="I137" s="122"/>
      <c r="J137" s="98"/>
    </row>
    <row r="138" spans="2:10" x14ac:dyDescent="0.2">
      <c r="B138" s="480"/>
      <c r="C138" s="481"/>
      <c r="D138" s="276"/>
      <c r="E138" s="99"/>
      <c r="F138" s="99"/>
      <c r="G138" s="102"/>
      <c r="H138" s="102"/>
      <c r="I138" s="122"/>
      <c r="J138" s="98"/>
    </row>
    <row r="139" spans="2:10" x14ac:dyDescent="0.2">
      <c r="B139" s="482"/>
      <c r="C139" s="483"/>
      <c r="D139" s="474">
        <v>4</v>
      </c>
      <c r="E139" s="97" t="s">
        <v>676</v>
      </c>
      <c r="F139" s="97" t="s">
        <v>681</v>
      </c>
      <c r="G139" s="102"/>
      <c r="H139" s="102"/>
      <c r="I139" s="122"/>
      <c r="J139" s="98"/>
    </row>
    <row r="140" spans="2:10" x14ac:dyDescent="0.2">
      <c r="B140" s="478" t="s">
        <v>651</v>
      </c>
      <c r="C140" s="479"/>
      <c r="D140" s="195"/>
      <c r="E140" s="98"/>
      <c r="F140" s="98"/>
      <c r="G140" s="102"/>
      <c r="H140" s="102"/>
      <c r="I140" s="122"/>
      <c r="J140" s="98"/>
    </row>
    <row r="141" spans="2:10" ht="13.8" thickBot="1" x14ac:dyDescent="0.25">
      <c r="B141" s="484"/>
      <c r="C141" s="485"/>
      <c r="D141" s="276"/>
      <c r="E141" s="99"/>
      <c r="F141" s="99"/>
      <c r="G141" s="103"/>
      <c r="H141" s="103"/>
      <c r="I141" s="127"/>
      <c r="J141" s="128"/>
    </row>
    <row r="142" spans="2:10" ht="13.8" thickTop="1" x14ac:dyDescent="0.2"/>
    <row r="143" spans="2:10" x14ac:dyDescent="0.2">
      <c r="D143">
        <v>1</v>
      </c>
      <c r="E143" s="97" t="s">
        <v>674</v>
      </c>
      <c r="F143" s="97" t="s">
        <v>679</v>
      </c>
      <c r="I143" s="120" t="s">
        <v>686</v>
      </c>
      <c r="J143" s="97" t="s">
        <v>704</v>
      </c>
    </row>
    <row r="144" spans="2:10" x14ac:dyDescent="0.2">
      <c r="D144">
        <v>2</v>
      </c>
      <c r="E144" s="97" t="s">
        <v>674</v>
      </c>
      <c r="F144" s="97" t="s">
        <v>679</v>
      </c>
      <c r="I144" s="120" t="s">
        <v>686</v>
      </c>
      <c r="J144" s="97" t="s">
        <v>704</v>
      </c>
    </row>
    <row r="145" spans="3:10" x14ac:dyDescent="0.2">
      <c r="D145">
        <v>3</v>
      </c>
      <c r="E145" s="97" t="s">
        <v>675</v>
      </c>
      <c r="F145" s="97" t="s">
        <v>680</v>
      </c>
      <c r="I145" s="120" t="s">
        <v>687</v>
      </c>
      <c r="J145" s="97" t="s">
        <v>706</v>
      </c>
    </row>
    <row r="146" spans="3:10" x14ac:dyDescent="0.2">
      <c r="D146">
        <v>4</v>
      </c>
      <c r="E146" s="97" t="s">
        <v>676</v>
      </c>
      <c r="F146" s="97" t="s">
        <v>681</v>
      </c>
      <c r="I146" s="120" t="s">
        <v>687</v>
      </c>
      <c r="J146" s="97" t="s">
        <v>707</v>
      </c>
    </row>
    <row r="147" spans="3:10" x14ac:dyDescent="0.2">
      <c r="C147">
        <v>1</v>
      </c>
      <c r="D147" s="133" t="s">
        <v>677</v>
      </c>
      <c r="E147" s="101" t="s">
        <v>558</v>
      </c>
      <c r="F147" s="101" t="s">
        <v>682</v>
      </c>
      <c r="I147" s="120" t="s">
        <v>686</v>
      </c>
      <c r="J147" s="97" t="s">
        <v>708</v>
      </c>
    </row>
    <row r="148" spans="3:10" x14ac:dyDescent="0.2">
      <c r="C148">
        <v>2</v>
      </c>
      <c r="D148" s="133" t="s">
        <v>678</v>
      </c>
      <c r="E148" s="101" t="s">
        <v>558</v>
      </c>
      <c r="F148" s="101" t="s">
        <v>682</v>
      </c>
      <c r="I148" s="120" t="s">
        <v>686</v>
      </c>
      <c r="J148" s="97" t="s">
        <v>704</v>
      </c>
    </row>
    <row r="149" spans="3:10" x14ac:dyDescent="0.2">
      <c r="C149">
        <v>3</v>
      </c>
      <c r="D149" s="133" t="s">
        <v>695</v>
      </c>
      <c r="E149" s="101" t="s">
        <v>559</v>
      </c>
      <c r="F149" s="101" t="s">
        <v>683</v>
      </c>
      <c r="I149" s="120" t="s">
        <v>687</v>
      </c>
      <c r="J149" s="97" t="s">
        <v>709</v>
      </c>
    </row>
    <row r="150" spans="3:10" x14ac:dyDescent="0.2">
      <c r="C150">
        <v>4</v>
      </c>
      <c r="D150" s="133" t="s">
        <v>696</v>
      </c>
      <c r="E150" s="101" t="s">
        <v>559</v>
      </c>
      <c r="F150" s="101" t="s">
        <v>683</v>
      </c>
      <c r="I150" s="120" t="s">
        <v>687</v>
      </c>
      <c r="J150" s="97" t="s">
        <v>706</v>
      </c>
    </row>
  </sheetData>
  <mergeCells count="11">
    <mergeCell ref="S44:U44"/>
    <mergeCell ref="M44:O44"/>
    <mergeCell ref="P44:R44"/>
    <mergeCell ref="D5:E5"/>
    <mergeCell ref="D11:E11"/>
    <mergeCell ref="D44:G44"/>
    <mergeCell ref="H44:J44"/>
    <mergeCell ref="K44:L44"/>
    <mergeCell ref="G8:H8"/>
    <mergeCell ref="G12:H12"/>
    <mergeCell ref="G16:H16"/>
  </mergeCells>
  <phoneticPr fontId="4"/>
  <pageMargins left="0.7" right="0.7" top="0.75" bottom="0.75" header="0.3" footer="0.3"/>
  <pageSetup paperSize="9"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</vt:i4>
      </vt:variant>
    </vt:vector>
  </HeadingPairs>
  <TitlesOfParts>
    <vt:vector size="10" baseType="lpstr">
      <vt:lpstr>団体情報・入力の仕方</vt:lpstr>
      <vt:lpstr>入力シート</vt:lpstr>
      <vt:lpstr>エントリー別人数表＆参加費申込書</vt:lpstr>
      <vt:lpstr>参照データ</vt:lpstr>
      <vt:lpstr>'エントリー別人数表＆参加費申込書'!Print_Area</vt:lpstr>
      <vt:lpstr>団体情報・入力の仕方!Print_Area</vt:lpstr>
      <vt:lpstr>入力シート!Print_Area</vt:lpstr>
      <vt:lpstr>入力シート!Print_Titles</vt:lpstr>
      <vt:lpstr>都県</vt:lpstr>
      <vt:lpstr>未就学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kanto</dc:creator>
  <cp:lastModifiedBy>chikumi_b@outlook.jp</cp:lastModifiedBy>
  <cp:lastPrinted>2026-08-19T10:00:46Z</cp:lastPrinted>
  <dcterms:created xsi:type="dcterms:W3CDTF">2017-02-27T02:54:30Z</dcterms:created>
  <dcterms:modified xsi:type="dcterms:W3CDTF">2026-08-27T13:17:55Z</dcterms:modified>
</cp:coreProperties>
</file>